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bookViews>
    <workbookView xWindow="0" yWindow="0" windowWidth="28800" windowHeight="12300"/>
  </bookViews>
  <sheets>
    <sheet name="PV_souhrnny" sheetId="3" r:id="rId1"/>
    <sheet name="ZDROJE" sheetId="8" state="hidden" r:id="rId2"/>
  </sheets>
  <externalReferences>
    <externalReference r:id="rId3"/>
    <externalReference r:id="rId4"/>
  </externalReferences>
  <definedNames>
    <definedName name="_xlnm.Print_Area" localSheetId="0">PV_souhrnny!$A$1:$P$77</definedName>
  </definedNames>
  <calcPr calcId="162913"/>
</workbook>
</file>

<file path=xl/calcChain.xml><?xml version="1.0" encoding="utf-8"?>
<calcChain xmlns="http://schemas.openxmlformats.org/spreadsheetml/2006/main">
  <c r="E58" i="3" l="1"/>
  <c r="P28" i="3" l="1"/>
  <c r="C9" i="8" l="1"/>
  <c r="L75" i="3" l="1"/>
  <c r="I75" i="3"/>
  <c r="P52" i="3" l="1"/>
  <c r="O59" i="3" s="1"/>
  <c r="O66" i="3" s="1"/>
  <c r="O68" i="3" s="1"/>
  <c r="P46" i="3"/>
  <c r="M59" i="3" s="1"/>
  <c r="M66" i="3" s="1"/>
  <c r="M68" i="3" s="1"/>
  <c r="P40" i="3"/>
  <c r="K59" i="3" s="1"/>
  <c r="K66" i="3" s="1"/>
  <c r="K68" i="3" s="1"/>
  <c r="E55" i="3"/>
  <c r="G55" i="3" s="1"/>
  <c r="I55" i="3" s="1"/>
  <c r="P22" i="3"/>
  <c r="E59" i="3" s="1"/>
  <c r="E66" i="3" s="1"/>
  <c r="E68" i="3" s="1"/>
  <c r="E67" i="3" s="1"/>
  <c r="E10" i="3"/>
  <c r="A17" i="3" s="1"/>
  <c r="A23" i="3" s="1"/>
  <c r="K55" i="3" l="1"/>
  <c r="M55" i="3" s="1"/>
  <c r="O55" i="3" s="1"/>
  <c r="C10" i="8"/>
  <c r="M4" i="3"/>
  <c r="AN4" i="8" l="1"/>
  <c r="AN6" i="8"/>
  <c r="AN8" i="8"/>
  <c r="AN10" i="8"/>
  <c r="AN12" i="8"/>
  <c r="AN14" i="8"/>
  <c r="AN16" i="8"/>
  <c r="AN18" i="8"/>
  <c r="AN20" i="8"/>
  <c r="AN22" i="8"/>
  <c r="AN24" i="8"/>
  <c r="AN26" i="8"/>
  <c r="AN28" i="8"/>
  <c r="AN30" i="8"/>
  <c r="AN32" i="8"/>
  <c r="AN3" i="8"/>
  <c r="AO9" i="8"/>
  <c r="AO19" i="8"/>
  <c r="AO23" i="8"/>
  <c r="AO29" i="8"/>
  <c r="AO4" i="8"/>
  <c r="AO6" i="8"/>
  <c r="AO8" i="8"/>
  <c r="AO10" i="8"/>
  <c r="AO12" i="8"/>
  <c r="AO14" i="8"/>
  <c r="AO16" i="8"/>
  <c r="AO18" i="8"/>
  <c r="AO20" i="8"/>
  <c r="AO22" i="8"/>
  <c r="AO24" i="8"/>
  <c r="AO26" i="8"/>
  <c r="AO28" i="8"/>
  <c r="AO30" i="8"/>
  <c r="AO32" i="8"/>
  <c r="AO7" i="8"/>
  <c r="AO13" i="8"/>
  <c r="AO17" i="8"/>
  <c r="AO21" i="8"/>
  <c r="AO27" i="8"/>
  <c r="AN5" i="8"/>
  <c r="AN7" i="8"/>
  <c r="AN9" i="8"/>
  <c r="AN11" i="8"/>
  <c r="AN13" i="8"/>
  <c r="AN15" i="8"/>
  <c r="AN17" i="8"/>
  <c r="AN19" i="8"/>
  <c r="AN21" i="8"/>
  <c r="AN23" i="8"/>
  <c r="AN25" i="8"/>
  <c r="AN27" i="8"/>
  <c r="AN29" i="8"/>
  <c r="AN31" i="8"/>
  <c r="AO3" i="8"/>
  <c r="AO5" i="8"/>
  <c r="AO11" i="8"/>
  <c r="AO15" i="8"/>
  <c r="AO25" i="8"/>
  <c r="AO31" i="8"/>
  <c r="P34" i="3"/>
  <c r="I59" i="3" s="1"/>
  <c r="I66" i="3" s="1"/>
  <c r="I68" i="3" s="1"/>
  <c r="M7" i="3" l="1"/>
  <c r="G59" i="3"/>
  <c r="G66" i="3" s="1"/>
  <c r="G68" i="3" s="1"/>
  <c r="P54" i="3"/>
  <c r="BP91" i="8"/>
  <c r="BE91" i="8"/>
  <c r="BD91" i="8" s="1"/>
  <c r="BC91" i="8"/>
  <c r="BB91" i="8" s="1"/>
  <c r="CI90" i="8"/>
  <c r="BP90" i="8"/>
  <c r="BE90" i="8"/>
  <c r="BD90" i="8" s="1"/>
  <c r="BC90" i="8"/>
  <c r="BB90" i="8" s="1"/>
  <c r="CI89" i="8"/>
  <c r="BP89" i="8"/>
  <c r="BE89" i="8"/>
  <c r="BD89" i="8" s="1"/>
  <c r="BC89" i="8"/>
  <c r="BB89" i="8" s="1"/>
  <c r="CI88" i="8"/>
  <c r="BP88" i="8"/>
  <c r="BE88" i="8"/>
  <c r="BD88" i="8" s="1"/>
  <c r="BC88" i="8"/>
  <c r="BB88" i="8" s="1"/>
  <c r="CI87" i="8"/>
  <c r="BP87" i="8"/>
  <c r="BE87" i="8"/>
  <c r="BD87" i="8" s="1"/>
  <c r="BC87" i="8"/>
  <c r="BB87" i="8"/>
  <c r="CI86" i="8"/>
  <c r="BP86" i="8"/>
  <c r="BE86" i="8"/>
  <c r="BD86" i="8"/>
  <c r="BC86" i="8"/>
  <c r="BB86" i="8" s="1"/>
  <c r="BP85" i="8"/>
  <c r="BE85" i="8"/>
  <c r="BD85" i="8" s="1"/>
  <c r="BC85" i="8"/>
  <c r="BB85" i="8" s="1"/>
  <c r="BP84" i="8"/>
  <c r="BE84" i="8"/>
  <c r="BD84" i="8" s="1"/>
  <c r="BC84" i="8"/>
  <c r="BB84" i="8" s="1"/>
  <c r="BP83" i="8"/>
  <c r="BE83" i="8"/>
  <c r="BD83" i="8" s="1"/>
  <c r="BC83" i="8"/>
  <c r="BB83" i="8" s="1"/>
  <c r="BP82" i="8"/>
  <c r="BE82" i="8"/>
  <c r="BD82" i="8" s="1"/>
  <c r="BC82" i="8"/>
  <c r="BB82" i="8" s="1"/>
  <c r="BP81" i="8"/>
  <c r="BE81" i="8"/>
  <c r="BD81" i="8" s="1"/>
  <c r="BC81" i="8"/>
  <c r="BB81" i="8" s="1"/>
  <c r="BP80" i="8"/>
  <c r="BE80" i="8"/>
  <c r="BD80" i="8" s="1"/>
  <c r="BC80" i="8"/>
  <c r="BB80" i="8" s="1"/>
  <c r="CI79" i="8"/>
  <c r="BP79" i="8"/>
  <c r="BE79" i="8"/>
  <c r="BD79" i="8" s="1"/>
  <c r="BC79" i="8"/>
  <c r="BB79" i="8" s="1"/>
  <c r="CI78" i="8"/>
  <c r="BP78" i="8"/>
  <c r="BE78" i="8"/>
  <c r="BD78" i="8" s="1"/>
  <c r="BC78" i="8"/>
  <c r="BB78" i="8" s="1"/>
  <c r="CI77" i="8"/>
  <c r="BP77" i="8"/>
  <c r="BE77" i="8"/>
  <c r="BD77" i="8" s="1"/>
  <c r="BC77" i="8"/>
  <c r="BB77" i="8" s="1"/>
  <c r="CI76" i="8"/>
  <c r="BP76" i="8"/>
  <c r="BE76" i="8"/>
  <c r="BD76" i="8" s="1"/>
  <c r="BC76" i="8"/>
  <c r="BB76" i="8" s="1"/>
  <c r="CI75" i="8"/>
  <c r="BP75" i="8"/>
  <c r="BE75" i="8"/>
  <c r="BD75" i="8" s="1"/>
  <c r="BC75" i="8"/>
  <c r="BB75" i="8" s="1"/>
  <c r="CI74" i="8"/>
  <c r="BP74" i="8"/>
  <c r="BE74" i="8"/>
  <c r="BD74" i="8" s="1"/>
  <c r="BC74" i="8"/>
  <c r="BB74" i="8" s="1"/>
  <c r="CI73" i="8"/>
  <c r="BP73" i="8"/>
  <c r="BE73" i="8"/>
  <c r="BD73" i="8" s="1"/>
  <c r="BC73" i="8"/>
  <c r="BB73" i="8" s="1"/>
  <c r="CI72" i="8"/>
  <c r="BE72" i="8" s="1"/>
  <c r="BD72" i="8" s="1"/>
  <c r="BP72" i="8"/>
  <c r="BC72" i="8" s="1"/>
  <c r="BB72" i="8" s="1"/>
  <c r="CI71" i="8"/>
  <c r="BE71" i="8" s="1"/>
  <c r="BD71" i="8" s="1"/>
  <c r="BP71" i="8"/>
  <c r="BC71" i="8"/>
  <c r="BB71" i="8" s="1"/>
  <c r="CI70" i="8"/>
  <c r="BE70" i="8" s="1"/>
  <c r="BD70" i="8" s="1"/>
  <c r="BP70" i="8"/>
  <c r="BC70" i="8" s="1"/>
  <c r="BB70" i="8" s="1"/>
  <c r="CI69" i="8"/>
  <c r="BE69" i="8" s="1"/>
  <c r="BD69" i="8" s="1"/>
  <c r="BP69" i="8"/>
  <c r="BC69" i="8"/>
  <c r="BB69" i="8" s="1"/>
  <c r="CI68" i="8"/>
  <c r="BE68" i="8" s="1"/>
  <c r="BD68" i="8" s="1"/>
  <c r="BP68" i="8"/>
  <c r="BC68" i="8" s="1"/>
  <c r="BB68" i="8" s="1"/>
  <c r="CI67" i="8"/>
  <c r="BE67" i="8" s="1"/>
  <c r="BD67" i="8" s="1"/>
  <c r="BP67" i="8"/>
  <c r="BC67" i="8"/>
  <c r="BB67" i="8" s="1"/>
  <c r="CI66" i="8"/>
  <c r="BP66" i="8"/>
  <c r="BE66" i="8"/>
  <c r="BD66" i="8" s="1"/>
  <c r="BC66" i="8"/>
  <c r="BB66" i="8" s="1"/>
  <c r="CI65" i="8"/>
  <c r="BP65" i="8"/>
  <c r="BE65" i="8"/>
  <c r="BD65" i="8" s="1"/>
  <c r="BC65" i="8"/>
  <c r="BB65" i="8" s="1"/>
  <c r="N65" i="8"/>
  <c r="M65" i="8"/>
  <c r="L65" i="8"/>
  <c r="CI64" i="8"/>
  <c r="BP64" i="8"/>
  <c r="BE64" i="8"/>
  <c r="BD64" i="8" s="1"/>
  <c r="BC64" i="8"/>
  <c r="BB64" i="8"/>
  <c r="N64" i="8"/>
  <c r="M64" i="8"/>
  <c r="L64" i="8"/>
  <c r="CI63" i="8"/>
  <c r="BP63" i="8"/>
  <c r="BE63" i="8"/>
  <c r="BD63" i="8" s="1"/>
  <c r="BC63" i="8"/>
  <c r="BB63" i="8"/>
  <c r="N63" i="8"/>
  <c r="M63" i="8"/>
  <c r="L63" i="8"/>
  <c r="CI62" i="8"/>
  <c r="BP62" i="8"/>
  <c r="BE62" i="8"/>
  <c r="BD62" i="8" s="1"/>
  <c r="BC62" i="8"/>
  <c r="BB62" i="8" s="1"/>
  <c r="N62" i="8"/>
  <c r="M62" i="8"/>
  <c r="L62" i="8"/>
  <c r="CI61" i="8"/>
  <c r="BP61" i="8"/>
  <c r="BE61" i="8"/>
  <c r="BD61" i="8" s="1"/>
  <c r="BC61" i="8"/>
  <c r="BB61" i="8" s="1"/>
  <c r="N61" i="8"/>
  <c r="M61" i="8"/>
  <c r="L61" i="8"/>
  <c r="CI60" i="8"/>
  <c r="BP60" i="8"/>
  <c r="BE60" i="8"/>
  <c r="BD60" i="8" s="1"/>
  <c r="BC60" i="8"/>
  <c r="BB60" i="8" s="1"/>
  <c r="N60" i="8"/>
  <c r="M60" i="8"/>
  <c r="L60" i="8"/>
  <c r="CI59" i="8"/>
  <c r="BP59" i="8"/>
  <c r="BE59" i="8"/>
  <c r="BD59" i="8" s="1"/>
  <c r="BC59" i="8"/>
  <c r="BB59" i="8" s="1"/>
  <c r="N59" i="8"/>
  <c r="CI58" i="8"/>
  <c r="BP58" i="8"/>
  <c r="BE58" i="8"/>
  <c r="BD58" i="8" s="1"/>
  <c r="BC58" i="8"/>
  <c r="BB58" i="8" s="1"/>
  <c r="N58" i="8"/>
  <c r="M58" i="8"/>
  <c r="M59" i="8" s="1"/>
  <c r="L58" i="8"/>
  <c r="L59" i="8" s="1"/>
  <c r="CI57" i="8"/>
  <c r="BP57" i="8"/>
  <c r="BE57" i="8"/>
  <c r="BD57" i="8" s="1"/>
  <c r="BC57" i="8"/>
  <c r="BB57" i="8" s="1"/>
  <c r="CI56" i="8"/>
  <c r="BP56" i="8"/>
  <c r="BE56" i="8"/>
  <c r="BD56" i="8" s="1"/>
  <c r="BC56" i="8"/>
  <c r="BB56" i="8" s="1"/>
  <c r="N56" i="8"/>
  <c r="M56" i="8"/>
  <c r="L56" i="8"/>
  <c r="CI55" i="8"/>
  <c r="BP55" i="8"/>
  <c r="BE55" i="8"/>
  <c r="BD55" i="8" s="1"/>
  <c r="BC55" i="8"/>
  <c r="BB55" i="8" s="1"/>
  <c r="BP54" i="8"/>
  <c r="BE54" i="8"/>
  <c r="BD54" i="8" s="1"/>
  <c r="BC54" i="8"/>
  <c r="BB54" i="8" s="1"/>
  <c r="BP53" i="8"/>
  <c r="BE53" i="8"/>
  <c r="BD53" i="8" s="1"/>
  <c r="BC53" i="8"/>
  <c r="BB53" i="8" s="1"/>
  <c r="BP52" i="8"/>
  <c r="BE52" i="8"/>
  <c r="BD52" i="8" s="1"/>
  <c r="BC52" i="8"/>
  <c r="BB52" i="8" s="1"/>
  <c r="BP51" i="8"/>
  <c r="BE51" i="8"/>
  <c r="BD51" i="8" s="1"/>
  <c r="BC51" i="8"/>
  <c r="BB51" i="8" s="1"/>
  <c r="N51" i="8"/>
  <c r="N52" i="8" s="1"/>
  <c r="N53" i="8" s="1"/>
  <c r="N54" i="8" s="1"/>
  <c r="N55" i="8" s="1"/>
  <c r="M51" i="8"/>
  <c r="M52" i="8" s="1"/>
  <c r="M53" i="8" s="1"/>
  <c r="M54" i="8" s="1"/>
  <c r="M55" i="8" s="1"/>
  <c r="L51" i="8"/>
  <c r="L52" i="8" s="1"/>
  <c r="L53" i="8" s="1"/>
  <c r="L54" i="8" s="1"/>
  <c r="L55" i="8" s="1"/>
  <c r="BP50" i="8"/>
  <c r="BE50" i="8"/>
  <c r="BD50" i="8" s="1"/>
  <c r="BC50" i="8"/>
  <c r="BB50" i="8" s="1"/>
  <c r="N50" i="8"/>
  <c r="M50" i="8"/>
  <c r="L50" i="8"/>
  <c r="BP49" i="8"/>
  <c r="BE49" i="8"/>
  <c r="BD49" i="8" s="1"/>
  <c r="BC49" i="8"/>
  <c r="BB49" i="8" s="1"/>
  <c r="N49" i="8"/>
  <c r="M49" i="8"/>
  <c r="L49" i="8"/>
  <c r="BP48" i="8"/>
  <c r="BE48" i="8"/>
  <c r="BD48" i="8" s="1"/>
  <c r="BC48" i="8"/>
  <c r="BB48" i="8" s="1"/>
  <c r="N48" i="8"/>
  <c r="M48" i="8"/>
  <c r="L48" i="8"/>
  <c r="BP47" i="8"/>
  <c r="BE47" i="8"/>
  <c r="BD47" i="8" s="1"/>
  <c r="BC47" i="8"/>
  <c r="BB47" i="8" s="1"/>
  <c r="N47" i="8"/>
  <c r="M47" i="8"/>
  <c r="L47" i="8"/>
  <c r="BP46" i="8"/>
  <c r="BE46" i="8"/>
  <c r="BD46" i="8" s="1"/>
  <c r="BC46" i="8"/>
  <c r="BB46" i="8" s="1"/>
  <c r="N46" i="8"/>
  <c r="CI45" i="8"/>
  <c r="BP45" i="8"/>
  <c r="BE45" i="8"/>
  <c r="BD45" i="8" s="1"/>
  <c r="BC45" i="8"/>
  <c r="BB45" i="8" s="1"/>
  <c r="N45" i="8"/>
  <c r="M45" i="8"/>
  <c r="M46" i="8" s="1"/>
  <c r="L45" i="8"/>
  <c r="L46" i="8" s="1"/>
  <c r="CI44" i="8"/>
  <c r="BP44" i="8"/>
  <c r="BE44" i="8"/>
  <c r="BD44" i="8" s="1"/>
  <c r="BC44" i="8"/>
  <c r="BB44" i="8" s="1"/>
  <c r="N44" i="8"/>
  <c r="N57" i="8" s="1"/>
  <c r="M44" i="8"/>
  <c r="M57" i="8" s="1"/>
  <c r="L44" i="8"/>
  <c r="L57" i="8" s="1"/>
  <c r="CI43" i="8"/>
  <c r="BP43" i="8"/>
  <c r="BE43" i="8"/>
  <c r="BD43" i="8" s="1"/>
  <c r="BC43" i="8"/>
  <c r="BB43" i="8" s="1"/>
  <c r="CI42" i="8"/>
  <c r="BP42" i="8"/>
  <c r="BE42" i="8"/>
  <c r="BD42" i="8" s="1"/>
  <c r="BC42" i="8"/>
  <c r="BB42" i="8" s="1"/>
  <c r="CI41" i="8"/>
  <c r="BP41" i="8"/>
  <c r="BE41" i="8"/>
  <c r="BD41" i="8" s="1"/>
  <c r="BC41" i="8"/>
  <c r="BB41" i="8" s="1"/>
  <c r="CI40" i="8"/>
  <c r="BP40" i="8"/>
  <c r="BE40" i="8"/>
  <c r="BD40" i="8" s="1"/>
  <c r="BC40" i="8"/>
  <c r="BB40" i="8" s="1"/>
  <c r="CI39" i="8"/>
  <c r="BP39" i="8"/>
  <c r="BE39" i="8"/>
  <c r="BD39" i="8" s="1"/>
  <c r="BC39" i="8"/>
  <c r="BB39" i="8"/>
  <c r="CI38" i="8"/>
  <c r="BP38" i="8"/>
  <c r="BE38" i="8"/>
  <c r="BD38" i="8"/>
  <c r="BC38" i="8"/>
  <c r="BB38" i="8" s="1"/>
  <c r="CI37" i="8"/>
  <c r="BP37" i="8"/>
  <c r="BE37" i="8"/>
  <c r="BD37" i="8" s="1"/>
  <c r="BC37" i="8"/>
  <c r="BB37" i="8" s="1"/>
  <c r="CI36" i="8"/>
  <c r="BP36" i="8"/>
  <c r="BE36" i="8"/>
  <c r="BD36" i="8" s="1"/>
  <c r="BC36" i="8"/>
  <c r="BB36" i="8" s="1"/>
  <c r="CI35" i="8"/>
  <c r="BP35" i="8"/>
  <c r="BE35" i="8"/>
  <c r="BD35" i="8" s="1"/>
  <c r="BC35" i="8"/>
  <c r="BB35" i="8" s="1"/>
  <c r="CI34" i="8"/>
  <c r="BP34" i="8"/>
  <c r="BE34" i="8"/>
  <c r="BD34" i="8" s="1"/>
  <c r="BC34" i="8"/>
  <c r="BB34" i="8" s="1"/>
  <c r="CI33" i="8"/>
  <c r="BP33" i="8"/>
  <c r="BE33" i="8"/>
  <c r="BD33" i="8" s="1"/>
  <c r="BC33" i="8"/>
  <c r="BB33" i="8" s="1"/>
  <c r="CI32" i="8"/>
  <c r="BP32" i="8"/>
  <c r="BE32" i="8"/>
  <c r="BD32" i="8" s="1"/>
  <c r="BC32" i="8"/>
  <c r="BB32" i="8" s="1"/>
  <c r="CI31" i="8"/>
  <c r="BP31" i="8"/>
  <c r="BE31" i="8"/>
  <c r="BD31" i="8" s="1"/>
  <c r="BC31" i="8"/>
  <c r="BB31" i="8" s="1"/>
  <c r="CI30" i="8"/>
  <c r="BP30" i="8"/>
  <c r="BE30" i="8"/>
  <c r="BD30" i="8" s="1"/>
  <c r="BC30" i="8"/>
  <c r="BB30" i="8" s="1"/>
  <c r="CI29" i="8"/>
  <c r="BP29" i="8"/>
  <c r="BE29" i="8"/>
  <c r="BD29" i="8" s="1"/>
  <c r="BC29" i="8"/>
  <c r="BB29" i="8" s="1"/>
  <c r="CI28" i="8"/>
  <c r="BP28" i="8"/>
  <c r="BE28" i="8"/>
  <c r="BD28" i="8" s="1"/>
  <c r="BC28" i="8"/>
  <c r="BB28" i="8" s="1"/>
  <c r="CI27" i="8"/>
  <c r="BP27" i="8"/>
  <c r="BE27" i="8"/>
  <c r="BD27" i="8" s="1"/>
  <c r="BC27" i="8"/>
  <c r="BB27" i="8" s="1"/>
  <c r="CI26" i="8"/>
  <c r="BP26" i="8"/>
  <c r="BE26" i="8"/>
  <c r="BD26" i="8" s="1"/>
  <c r="BC26" i="8"/>
  <c r="BB26" i="8" s="1"/>
  <c r="CI25" i="8"/>
  <c r="BP25" i="8"/>
  <c r="BE25" i="8"/>
  <c r="BD25" i="8" s="1"/>
  <c r="BC25" i="8"/>
  <c r="BB25" i="8" s="1"/>
  <c r="CI24" i="8"/>
  <c r="BP24" i="8"/>
  <c r="BE24" i="8"/>
  <c r="BD24" i="8" s="1"/>
  <c r="BC24" i="8"/>
  <c r="BB24" i="8" s="1"/>
  <c r="CI23" i="8"/>
  <c r="BP23" i="8"/>
  <c r="BE23" i="8"/>
  <c r="BD23" i="8" s="1"/>
  <c r="BC23" i="8"/>
  <c r="BB23" i="8" s="1"/>
  <c r="CI22" i="8"/>
  <c r="BP22" i="8"/>
  <c r="BE22" i="8"/>
  <c r="BD22" i="8" s="1"/>
  <c r="BC22" i="8"/>
  <c r="BB22" i="8" s="1"/>
  <c r="CI21" i="8"/>
  <c r="BP21" i="8"/>
  <c r="BE21" i="8"/>
  <c r="BD21" i="8" s="1"/>
  <c r="BC21" i="8"/>
  <c r="BB21" i="8" s="1"/>
  <c r="CI20" i="8"/>
  <c r="BP20" i="8"/>
  <c r="BE20" i="8"/>
  <c r="BD20" i="8" s="1"/>
  <c r="BC20" i="8"/>
  <c r="BB20" i="8" s="1"/>
  <c r="CI19" i="8"/>
  <c r="BP19" i="8"/>
  <c r="BE19" i="8"/>
  <c r="BD19" i="8" s="1"/>
  <c r="BC19" i="8"/>
  <c r="BB19" i="8" s="1"/>
  <c r="CI18" i="8"/>
  <c r="BP18" i="8"/>
  <c r="BE18" i="8"/>
  <c r="BD18" i="8" s="1"/>
  <c r="BC18" i="8"/>
  <c r="BB18" i="8" s="1"/>
  <c r="CI17" i="8"/>
  <c r="BP17" i="8"/>
  <c r="BE17" i="8"/>
  <c r="BD17" i="8" s="1"/>
  <c r="BC17" i="8"/>
  <c r="BB17" i="8" s="1"/>
  <c r="CI16" i="8"/>
  <c r="BP16" i="8"/>
  <c r="BE16" i="8"/>
  <c r="BD16" i="8" s="1"/>
  <c r="BC16" i="8"/>
  <c r="BB16" i="8" s="1"/>
  <c r="CY15" i="8"/>
  <c r="CX15" i="8"/>
  <c r="CW15" i="8"/>
  <c r="CV15" i="8"/>
  <c r="CU15" i="8"/>
  <c r="CT15" i="8"/>
  <c r="CI15" i="8"/>
  <c r="BP15" i="8"/>
  <c r="BE15" i="8"/>
  <c r="BD15" i="8" s="1"/>
  <c r="BC15" i="8"/>
  <c r="BB15" i="8" s="1"/>
  <c r="CI14" i="8"/>
  <c r="BP14" i="8"/>
  <c r="BE14" i="8"/>
  <c r="BD14" i="8" s="1"/>
  <c r="BC14" i="8"/>
  <c r="BB14" i="8" s="1"/>
  <c r="CI13" i="8"/>
  <c r="BP13" i="8"/>
  <c r="BE13" i="8"/>
  <c r="BD13" i="8" s="1"/>
  <c r="BC13" i="8"/>
  <c r="BB13" i="8" s="1"/>
  <c r="AR13" i="8"/>
  <c r="AQ13" i="8"/>
  <c r="AP13" i="8"/>
  <c r="CI12" i="8"/>
  <c r="BP12" i="8"/>
  <c r="BE12" i="8"/>
  <c r="BD12" i="8" s="1"/>
  <c r="BC12" i="8"/>
  <c r="BB12" i="8" s="1"/>
  <c r="AR12" i="8"/>
  <c r="AQ12" i="8"/>
  <c r="AP12" i="8"/>
  <c r="CI11" i="8"/>
  <c r="BP11" i="8"/>
  <c r="BE11" i="8"/>
  <c r="BD11" i="8" s="1"/>
  <c r="BC11" i="8"/>
  <c r="BB11" i="8" s="1"/>
  <c r="AR11" i="8"/>
  <c r="AQ11" i="8"/>
  <c r="AP11" i="8"/>
  <c r="CI10" i="8"/>
  <c r="BP10" i="8"/>
  <c r="BE10" i="8"/>
  <c r="BD10" i="8" s="1"/>
  <c r="BC10" i="8"/>
  <c r="BB10" i="8" s="1"/>
  <c r="AR10" i="8"/>
  <c r="AQ10" i="8"/>
  <c r="AP10" i="8"/>
  <c r="CI9" i="8"/>
  <c r="BP9" i="8"/>
  <c r="BE9" i="8"/>
  <c r="BD9" i="8" s="1"/>
  <c r="BC9" i="8"/>
  <c r="BB9" i="8" s="1"/>
  <c r="AR9" i="8"/>
  <c r="AQ9" i="8"/>
  <c r="AP9" i="8"/>
  <c r="CI8" i="8"/>
  <c r="BP8" i="8"/>
  <c r="BE8" i="8"/>
  <c r="BD8" i="8"/>
  <c r="BC8" i="8"/>
  <c r="BB8" i="8" s="1"/>
  <c r="AR8" i="8"/>
  <c r="AQ8" i="8"/>
  <c r="AP8" i="8"/>
  <c r="CI7" i="8"/>
  <c r="BP7" i="8"/>
  <c r="BE7" i="8"/>
  <c r="BD7" i="8" s="1"/>
  <c r="BC7" i="8"/>
  <c r="BB7" i="8" s="1"/>
  <c r="AR7" i="8"/>
  <c r="AQ7" i="8"/>
  <c r="AP7" i="8"/>
  <c r="CI6" i="8"/>
  <c r="BP6" i="8"/>
  <c r="BE6" i="8"/>
  <c r="BD6" i="8" s="1"/>
  <c r="BC6" i="8"/>
  <c r="BB6" i="8" s="1"/>
  <c r="AR6" i="8"/>
  <c r="AQ6" i="8"/>
  <c r="AP6" i="8"/>
  <c r="CI5" i="8"/>
  <c r="BP5" i="8"/>
  <c r="BE5" i="8"/>
  <c r="BD5" i="8" s="1"/>
  <c r="BC5" i="8"/>
  <c r="BB5" i="8" s="1"/>
  <c r="AR5" i="8"/>
  <c r="AQ5" i="8"/>
  <c r="AP5" i="8"/>
  <c r="CI4" i="8"/>
  <c r="BP4" i="8"/>
  <c r="CO3" i="8" s="1"/>
  <c r="BE4" i="8"/>
  <c r="BD4" i="8" s="1"/>
  <c r="BC4" i="8"/>
  <c r="BB4" i="8" s="1"/>
  <c r="AR4" i="8"/>
  <c r="AQ4" i="8"/>
  <c r="AP4" i="8"/>
  <c r="CI3" i="8"/>
  <c r="BP3" i="8"/>
  <c r="CO4" i="8" s="1"/>
  <c r="BE3" i="8"/>
  <c r="BD3" i="8" s="1"/>
  <c r="BC3" i="8"/>
  <c r="BB3" i="8" s="1"/>
  <c r="AR3" i="8"/>
  <c r="AQ3" i="8"/>
  <c r="AP3" i="8"/>
  <c r="BC1" i="8"/>
  <c r="CN3" i="8" l="1"/>
  <c r="CN4" i="8"/>
  <c r="A29" i="3" l="1"/>
  <c r="A35" i="3" s="1"/>
  <c r="A41" i="3" s="1"/>
  <c r="A47" i="3" s="1"/>
  <c r="F56" i="3" l="1"/>
  <c r="E56" i="3"/>
  <c r="G10" i="3"/>
  <c r="I10" i="3" s="1"/>
  <c r="K10" i="3" s="1"/>
  <c r="M10" i="3" s="1"/>
  <c r="O10" i="3" s="1"/>
  <c r="G56" i="3" l="1"/>
  <c r="E57" i="3"/>
  <c r="Q22" i="3" l="1"/>
  <c r="I56" i="3"/>
  <c r="G57" i="3"/>
  <c r="G58" i="3" s="1"/>
  <c r="G67" i="3" s="1"/>
  <c r="K56" i="3" l="1"/>
  <c r="I57" i="3"/>
  <c r="I58" i="3" s="1"/>
  <c r="I67" i="3" s="1"/>
  <c r="Q34" i="3" l="1"/>
  <c r="Q28" i="3"/>
  <c r="M56" i="3"/>
  <c r="K57" i="3"/>
  <c r="K58" i="3" l="1"/>
  <c r="K67" i="3" s="1"/>
  <c r="O56" i="3"/>
  <c r="O57" i="3" s="1"/>
  <c r="M57" i="3"/>
  <c r="M58" i="3" s="1"/>
  <c r="M67" i="3" s="1"/>
  <c r="Q46" i="3" l="1"/>
  <c r="Q40" i="3"/>
  <c r="O58" i="3"/>
  <c r="O67" i="3" s="1"/>
  <c r="Q52" i="3" l="1"/>
</calcChain>
</file>

<file path=xl/comments1.xml><?xml version="1.0" encoding="utf-8"?>
<comments xmlns="http://schemas.openxmlformats.org/spreadsheetml/2006/main">
  <authors>
    <author>Autor</author>
  </authors>
  <commentList>
    <comment ref="A3" authorId="0" shapeId="0">
      <text>
        <r>
          <rPr>
            <sz val="9"/>
            <color indexed="81"/>
            <rFont val="Tahoma"/>
            <family val="2"/>
            <charset val="238"/>
          </rPr>
          <t>Uveďte název projektu dle právního aktu o poskytnutí podpory.</t>
        </r>
      </text>
    </comment>
    <comment ref="I6" authorId="0" shapeId="0">
      <text>
        <r>
          <rPr>
            <sz val="9"/>
            <color indexed="81"/>
            <rFont val="Tahoma"/>
            <family val="2"/>
            <charset val="238"/>
          </rPr>
          <t>Vyberte z rolovacího menu - Pracovní smlouva, DPČ nebo DPP.</t>
        </r>
      </text>
    </comment>
    <comment ref="I7" authorId="0" shapeId="0">
      <text>
        <r>
          <rPr>
            <sz val="9"/>
            <color indexed="81"/>
            <rFont val="Tahoma"/>
            <family val="2"/>
            <charset val="238"/>
          </rPr>
          <t>Jedná se o položku rozpočtu, ze které je úvazek daného pracovníka hrazen.</t>
        </r>
      </text>
    </comment>
    <comment ref="A8" authorId="0" shapeId="0">
      <text>
        <r>
          <rPr>
            <sz val="9"/>
            <color indexed="81"/>
            <rFont val="Tahoma"/>
            <family val="2"/>
            <charset val="238"/>
          </rPr>
          <t>Zadejte datum začátku sledovaného období.</t>
        </r>
      </text>
    </comment>
    <comment ref="I8" authorId="0" shapeId="0">
      <text>
        <r>
          <rPr>
            <sz val="9"/>
            <color indexed="81"/>
            <rFont val="Tahoma"/>
            <family val="2"/>
            <charset val="238"/>
          </rPr>
          <t>Zadejte datum ukončení sledovaného období.</t>
        </r>
      </text>
    </comment>
    <comment ref="A11" authorId="0" shapeId="0">
      <text>
        <r>
          <rPr>
            <sz val="9"/>
            <color indexed="81"/>
            <rFont val="Tahoma"/>
            <family val="2"/>
            <charset val="238"/>
          </rPr>
          <t>Zpravidla vyplývá ze smlouvy/dohody. Pokud je tato výše úvazku flexibilní, vyplývá z počtu hodin odpracovaných pro projekt v rámci daného měsíce spadajících do režimu přímých výdajů.
Uvádějte úvazek v intervalu 0 - 1, nebo počtem hodin za měsíc.</t>
        </r>
      </text>
    </comment>
    <comment ref="A12" authorId="0" shapeId="0">
      <text>
        <r>
          <rPr>
            <sz val="9"/>
            <color indexed="81"/>
            <rFont val="Tahoma"/>
            <family val="2"/>
            <charset val="238"/>
          </rPr>
          <t>Jedná se o součet všech úvazků pracovníka u zaměstnavatele, u kterého zastává pozici prokazovanou tímto pracovním výkazem. Započítávají se pracovní úvazky v rámci PS, DPČ a DPP. 
Je možné vyplnit v případech, kdy má pracovník PS, DPČ, DPP hodnotu ve formě úvazku (např. 1,02), nebo je možné uvést v rozdělení na PS a DPČ (např. 1 + 32 hod).</t>
        </r>
      </text>
    </comment>
    <comment ref="A13" authorId="0" shapeId="0">
      <text>
        <r>
          <rPr>
            <sz val="9"/>
            <color indexed="81"/>
            <rFont val="Tahoma"/>
            <family val="2"/>
            <charset val="238"/>
          </rPr>
          <t>Jedná se o součet všech úvazků pracovníka u příjemce a partnera/ů podílejících se na realizaci projektu.
Započítávají se pracovní úvazky v rámci PS, DPČ a DPP.
Je možné vyplnit v případech, kdy má pracovník PS, DPČ, DPP hodnotu ve formě úvazku (např. 1,02), nebo je možné uvést v rozdělení na PS a DPČ (např. 1 + 32 hod).</t>
        </r>
      </text>
    </comment>
    <comment ref="B16" authorId="0" shapeId="0">
      <text>
        <r>
          <rPr>
            <sz val="9"/>
            <color indexed="81"/>
            <rFont val="Tahoma"/>
            <family val="2"/>
            <charset val="238"/>
          </rPr>
          <t>Označuje počet skupin činností, v případě potřeby lze přidat další řádky.</t>
        </r>
      </text>
    </comment>
    <comment ref="C16" authorId="0" shapeId="0">
      <text>
        <r>
          <rPr>
            <sz val="9"/>
            <color indexed="81"/>
            <rFont val="Tahoma"/>
            <family val="2"/>
            <charset val="238"/>
          </rPr>
          <t>Uveďte číslo klíčové aktivity (KA) související s  vykonávanou činností.</t>
        </r>
      </text>
    </comment>
    <comment ref="D16" authorId="0" shapeId="0">
      <text>
        <r>
          <rPr>
            <sz val="9"/>
            <color indexed="81"/>
            <rFont val="Tahoma"/>
            <family val="2"/>
            <charset val="238"/>
          </rPr>
          <t>Uveďte skupinu činností, v rámci které byly vyvíjeny konkrétní činosti. Lze například uvést "lektorská činnost", tvorba dokumentu, který je produktem, apod.</t>
        </r>
      </text>
    </comment>
    <comment ref="E16" authorId="0" shapeId="0">
      <text>
        <r>
          <rPr>
            <sz val="9"/>
            <color indexed="81"/>
            <rFont val="Tahoma"/>
            <family val="2"/>
            <charset val="238"/>
          </rPr>
          <t xml:space="preserve">Uveďte popis činností, které byly v rámci dané skupiny činností vykonávány ve sledovaném období a současně uveďte i průběžné výstupy práce za dané období.
Nevyplňujte detail, který den přesně danou činnost vykonával, s výjimkou akcí např. účasti na služební cestě, poradě, workshopu, vzdělávacím kurzu, konferenci apod., u kterých uvádí datum vždy (období konání).
Hodiny související s dovolenou, svátky, pracovní neschopností a dalšími překážkami/indispozičním volnem se do této části nevyplňují.  
</t>
        </r>
      </text>
    </comment>
    <comment ref="P16" authorId="0" shapeId="0">
      <text>
        <r>
          <rPr>
            <sz val="9"/>
            <color indexed="81"/>
            <rFont val="Tahoma"/>
            <family val="2"/>
            <charset val="238"/>
          </rPr>
          <t>Uveďte počet odpracovaných hodin v rámci měsíce včetně případných nařízených přesčasových hodin. Přesčas však může být pouze za podmínek stanovených zákoníkem práce.</t>
        </r>
      </text>
    </comment>
    <comment ref="A54" authorId="0" shapeId="0">
      <text>
        <r>
          <rPr>
            <sz val="9"/>
            <color indexed="81"/>
            <rFont val="Tahoma"/>
            <family val="2"/>
            <charset val="238"/>
          </rPr>
          <t>Počítá se automaticky dle počtu hodin uvedených v přehledu činností vykonaných pro projekt v režimu přímých výdajů.</t>
        </r>
      </text>
    </comment>
    <comment ref="A59" authorId="0" shapeId="0">
      <text>
        <r>
          <rPr>
            <sz val="9"/>
            <color indexed="81"/>
            <rFont val="Tahoma"/>
            <family val="2"/>
            <charset val="238"/>
          </rPr>
          <t>Vyplňuje se automaticky.</t>
        </r>
      </text>
    </comment>
    <comment ref="A60" authorId="0" shapeId="0">
      <text>
        <r>
          <rPr>
            <sz val="9"/>
            <color indexed="81"/>
            <rFont val="Tahoma"/>
            <family val="2"/>
            <charset val="238"/>
          </rPr>
          <t>V případě nařízených přesčasových hodin uveďte pouze počet těchto odpracovaných hodin. Přesčas však může být pouze za podmínek stanovených zákoníkem práce.</t>
        </r>
      </text>
    </comment>
    <comment ref="A62" authorId="0" shapeId="0">
      <text>
        <r>
          <rPr>
            <sz val="9"/>
            <color indexed="81"/>
            <rFont val="Tahoma"/>
            <family val="2"/>
            <charset val="238"/>
          </rPr>
          <t>Do této buňky vyplní pouze osoby, která mají celý úvazek jen na projektu; nezapočítávají se hodiny odpovídající úvazku v prvních třech dnech pracovní neschopnosti, kdy nemocenská není vyplácena</t>
        </r>
      </text>
    </comment>
    <comment ref="A63" authorId="0" shapeId="0">
      <text>
        <r>
          <rPr>
            <b/>
            <sz val="9"/>
            <color indexed="81"/>
            <rFont val="Tahoma"/>
            <family val="2"/>
            <charset val="238"/>
          </rPr>
          <t>Autor:</t>
        </r>
        <r>
          <rPr>
            <sz val="9"/>
            <color indexed="81"/>
            <rFont val="Tahoma"/>
            <family val="2"/>
            <charset val="238"/>
          </rPr>
          <t xml:space="preserve">
Pracovní neschopnost nehrazená (první 3 dny), hrazená zaměstnavatelem, OSSZ, ošetřování hrazené OSSZ,...</t>
        </r>
      </text>
    </comment>
    <comment ref="A66" authorId="0" shapeId="0">
      <text>
        <r>
          <rPr>
            <sz val="9"/>
            <color indexed="81"/>
            <rFont val="Tahoma"/>
            <family val="2"/>
            <charset val="238"/>
          </rPr>
          <t>Počet odpracovaných a z projektu v režimu přímých výdajů hrazených hodin vč. počtu hodin náhrad za svátek, dovolenou, pracovní neschopnost a další překážky v práci/ indispozičním volnem</t>
        </r>
      </text>
    </comment>
    <comment ref="E75" authorId="0" shapeId="0">
      <text>
        <r>
          <rPr>
            <sz val="9"/>
            <color indexed="81"/>
            <rFont val="Tahoma"/>
            <family val="2"/>
            <charset val="238"/>
          </rPr>
          <t>Pracovní výkaz vypracovává zaměstnanec, podepisuje tak čestné prohlášení o pravdivosti údajů.</t>
        </r>
      </text>
    </comment>
    <comment ref="E76" authorId="0" shapeId="0">
      <text>
        <r>
          <rPr>
            <sz val="9"/>
            <color indexed="81"/>
            <rFont val="Tahoma"/>
            <family val="2"/>
            <charset val="238"/>
          </rPr>
          <t>Pracovní výkaz musí být schválen jinou oprávněnou osobou, než která výkaz vypracovala.</t>
        </r>
      </text>
    </comment>
  </commentList>
</comments>
</file>

<file path=xl/comments2.xml><?xml version="1.0" encoding="utf-8"?>
<comments xmlns="http://schemas.openxmlformats.org/spreadsheetml/2006/main">
  <authors>
    <author>Autor</author>
  </authors>
  <commentList>
    <comment ref="BH90" authorId="0" shapeId="0">
      <text>
        <r>
          <rPr>
            <b/>
            <sz val="9"/>
            <color indexed="81"/>
            <rFont val="Tahoma"/>
            <family val="2"/>
            <charset val="238"/>
          </rPr>
          <t xml:space="preserve">Změnit současný název akce - "virtuální nemocnice"
</t>
        </r>
      </text>
    </comment>
    <comment ref="BI90" authorId="0" shapeId="0">
      <text>
        <r>
          <rPr>
            <b/>
            <sz val="9"/>
            <color indexed="81"/>
            <rFont val="Tahoma"/>
            <family val="2"/>
            <charset val="238"/>
          </rPr>
          <t xml:space="preserve">Změnit současný název akce - "virtuální nemocnice"
</t>
        </r>
      </text>
    </comment>
  </commentList>
</comments>
</file>

<file path=xl/sharedStrings.xml><?xml version="1.0" encoding="utf-8"?>
<sst xmlns="http://schemas.openxmlformats.org/spreadsheetml/2006/main" count="1932" uniqueCount="645">
  <si>
    <t>PRACOVNÍ VÝKAZ</t>
  </si>
  <si>
    <t>Registrační číslo projektu</t>
  </si>
  <si>
    <t>Název projektu</t>
  </si>
  <si>
    <t>Jméno a příjmení</t>
  </si>
  <si>
    <t>Typ pracovněprávního vztahu, k němuž se vztahuje tento výkaz</t>
  </si>
  <si>
    <t>Název pozice</t>
  </si>
  <si>
    <t xml:space="preserve">Kód položky rozpočtu </t>
  </si>
  <si>
    <t>Celková výše úvazku u všech zaměstnavatelů zapojených do realizace projektu</t>
  </si>
  <si>
    <t>Název skupiny činností</t>
  </si>
  <si>
    <t>Počet hodin</t>
  </si>
  <si>
    <t>1.</t>
  </si>
  <si>
    <t>2.</t>
  </si>
  <si>
    <t>3.</t>
  </si>
  <si>
    <t>4.</t>
  </si>
  <si>
    <t>5.</t>
  </si>
  <si>
    <t>Datum</t>
  </si>
  <si>
    <t>Název příjemce/partnera *)</t>
  </si>
  <si>
    <t>Čestné prohlášení pracovníka:</t>
  </si>
  <si>
    <t xml:space="preserve">*) Nehodící se škrtněte nebo odstraňte. </t>
  </si>
  <si>
    <t>Celková výše úvazku u zaměstnavatele, u kterého je sjednána prokazovaná pozice</t>
  </si>
  <si>
    <t>Výše úvazku pro projekt v režimu přímých výdajů</t>
  </si>
  <si>
    <t xml:space="preserve">Konec sledovaného období k datu </t>
  </si>
  <si>
    <t xml:space="preserve">Začátek sledovaného období k datu </t>
  </si>
  <si>
    <t>Výše úvazku</t>
  </si>
  <si>
    <t>z toho počet hodin přesčas</t>
  </si>
  <si>
    <t>Jméno a příjmení, titul</t>
  </si>
  <si>
    <t>Funkce</t>
  </si>
  <si>
    <t>Podpis</t>
  </si>
  <si>
    <t>Vypracoval:</t>
  </si>
  <si>
    <t>Schválil:</t>
  </si>
  <si>
    <t>Klíčová aktivita</t>
  </si>
  <si>
    <t>Poř. číslo</t>
  </si>
  <si>
    <t>měsíc</t>
  </si>
  <si>
    <t xml:space="preserve"> Popis činností včetně průběžných výstupů práce za dané období</t>
  </si>
  <si>
    <t>celkem hodin za měsíc</t>
  </si>
  <si>
    <t>Přehled činností vykonaných pro projekt a hrazených z projektu v režimu přímých výdajů včetně průběžných výstupů práce za dané období</t>
  </si>
  <si>
    <t>Počet odpracovaných a hrazených hodin včetně případných přesčasových hodin</t>
  </si>
  <si>
    <t>Počet hodin pracovní neschopnosti, za něž je z projektu hrazena náhrada</t>
  </si>
  <si>
    <t>Počet hodin placeného svátku hrazených z projektu</t>
  </si>
  <si>
    <t>Počet hodin dovolené hrazených z projektu</t>
  </si>
  <si>
    <t>Součet hodin odpracovaných a hrazených z projektu v režimu přímých výdajů</t>
  </si>
  <si>
    <t>Poznámka:</t>
  </si>
  <si>
    <t>Počet hodin ostatních překážek v práci a indispozičního volna hrazených z projektu</t>
  </si>
  <si>
    <t>Rozvoj JU - ESF</t>
  </si>
  <si>
    <t>Jihočeská univerzita v Českých Budějovicích</t>
  </si>
  <si>
    <t>CZ.02.2.69/0.0/0.0/16_015/0002348</t>
  </si>
  <si>
    <t>Dotazník</t>
  </si>
  <si>
    <t>Metodika typových pozic dle projektu</t>
  </si>
  <si>
    <t>Smlouva</t>
  </si>
  <si>
    <t>Rozpočtové položky</t>
  </si>
  <si>
    <t>Aktivity projektu</t>
  </si>
  <si>
    <t>Zdroje krytí</t>
  </si>
  <si>
    <t>Nákladové středisko</t>
  </si>
  <si>
    <t>Akci vidí</t>
  </si>
  <si>
    <t>Pojišťovna</t>
  </si>
  <si>
    <t>Banka</t>
  </si>
  <si>
    <t>Fond pracovní doby (k 12.7.2017)</t>
  </si>
  <si>
    <t>ANO/NE</t>
  </si>
  <si>
    <t>Rodinný stav</t>
  </si>
  <si>
    <t>Reg číslo projektu</t>
  </si>
  <si>
    <t>Zkratka projektu</t>
  </si>
  <si>
    <t>Zkušební doba</t>
  </si>
  <si>
    <t>Mzda za…</t>
  </si>
  <si>
    <t>Typ nákladu_slovně</t>
  </si>
  <si>
    <t>Typ nákladu_zkratka</t>
  </si>
  <si>
    <t>Typ PPV</t>
  </si>
  <si>
    <t>Typová pozice</t>
  </si>
  <si>
    <t>Maximální hrubá mzda</t>
  </si>
  <si>
    <t>Maximální hodinová sazba</t>
  </si>
  <si>
    <t>Obecná pracovní náplň</t>
  </si>
  <si>
    <t>Zkratka Součást</t>
  </si>
  <si>
    <t>Součást</t>
  </si>
  <si>
    <t>Adresa</t>
  </si>
  <si>
    <t>zastoupení 1</t>
  </si>
  <si>
    <t>zastoupení 2</t>
  </si>
  <si>
    <t>zastoupení 3</t>
  </si>
  <si>
    <t>NS</t>
  </si>
  <si>
    <t>ESF Název pozice (PS)</t>
  </si>
  <si>
    <t>ESF číslo pozice (PS)</t>
  </si>
  <si>
    <t>ESF Název pozice (DPČ)</t>
  </si>
  <si>
    <t>ESF číslo pozice (DPČ)</t>
  </si>
  <si>
    <t>ESF Název pozice (DPP)</t>
  </si>
  <si>
    <t>ESF číslo pozice (DPP)</t>
  </si>
  <si>
    <t>ERDF Název pozice (PS)</t>
  </si>
  <si>
    <t>ERDF číslo pozice (PS)</t>
  </si>
  <si>
    <t>ERDF Název pozice (DPČ)</t>
  </si>
  <si>
    <t>ERDF číslo pozice (DPČ)</t>
  </si>
  <si>
    <t>ERDF Název pozice (DPP)</t>
  </si>
  <si>
    <t>ERDF číslo pozice (DPP)</t>
  </si>
  <si>
    <t>SLNO Název pozice (PS)</t>
  </si>
  <si>
    <t>SLNO číslo pozice (PS)</t>
  </si>
  <si>
    <t>SLNO Název pozice (DPČ)</t>
  </si>
  <si>
    <t>SLNO číslo pozice (DPČ)</t>
  </si>
  <si>
    <t>SLNO Název pozice (DPP)</t>
  </si>
  <si>
    <t>SLNO číslo pozice (DPP)</t>
  </si>
  <si>
    <t>Pozice do seznamu (PS)</t>
  </si>
  <si>
    <t>číslo pozice do seznamu (PS)</t>
  </si>
  <si>
    <t>Aktivita projektu SEZNAM</t>
  </si>
  <si>
    <t>KA projektu SEZNAM</t>
  </si>
  <si>
    <t>DA projektu SEZNAM</t>
  </si>
  <si>
    <t>Aktity ESF</t>
  </si>
  <si>
    <t>KA ESF</t>
  </si>
  <si>
    <t>DA ESF</t>
  </si>
  <si>
    <t>Aktity ERDF</t>
  </si>
  <si>
    <t>KA ERDF</t>
  </si>
  <si>
    <t>DA ERDF</t>
  </si>
  <si>
    <t>Aktity SLNO</t>
  </si>
  <si>
    <t>KA SLNO</t>
  </si>
  <si>
    <t>DA SLNO</t>
  </si>
  <si>
    <t>ano/ne</t>
  </si>
  <si>
    <t>Akce-seznam</t>
  </si>
  <si>
    <t>KP-seznam</t>
  </si>
  <si>
    <t>Č.</t>
  </si>
  <si>
    <t>TA</t>
  </si>
  <si>
    <t>Projekt - název</t>
  </si>
  <si>
    <t>Projekt - zkratka</t>
  </si>
  <si>
    <t>Typ N</t>
  </si>
  <si>
    <t>Způsobilost</t>
  </si>
  <si>
    <t>KA</t>
  </si>
  <si>
    <t>DA nazev</t>
  </si>
  <si>
    <t>DA</t>
  </si>
  <si>
    <r>
      <t xml:space="preserve">Součást </t>
    </r>
    <r>
      <rPr>
        <b/>
        <sz val="8"/>
        <color theme="1"/>
        <rFont val="Calibri"/>
        <family val="2"/>
        <charset val="238"/>
        <scheme val="minor"/>
      </rPr>
      <t>(příslušnost příkazce)</t>
    </r>
  </si>
  <si>
    <t>název akce</t>
  </si>
  <si>
    <t xml:space="preserve">REK </t>
  </si>
  <si>
    <t>EF</t>
  </si>
  <si>
    <t>FF</t>
  </si>
  <si>
    <t>PF</t>
  </si>
  <si>
    <t>PřF</t>
  </si>
  <si>
    <t>FROV</t>
  </si>
  <si>
    <t>TF</t>
  </si>
  <si>
    <t>ZSF</t>
  </si>
  <si>
    <t>ZF</t>
  </si>
  <si>
    <t>REK</t>
  </si>
  <si>
    <t>KP</t>
  </si>
  <si>
    <t>Příkazce Operace</t>
  </si>
  <si>
    <t>Příkazce Operace - zástupce</t>
  </si>
  <si>
    <t>Správce řozpočtu</t>
  </si>
  <si>
    <t>Správce řozpočtu - zástupce</t>
  </si>
  <si>
    <t>Seznam příkazce</t>
  </si>
  <si>
    <t>Seznam Správce</t>
  </si>
  <si>
    <t>Zdravotní pojišťovna</t>
  </si>
  <si>
    <t>Název banky</t>
  </si>
  <si>
    <t>Kód banky</t>
  </si>
  <si>
    <t>ANO</t>
  </si>
  <si>
    <t>svobodný/á</t>
  </si>
  <si>
    <t>nesjednána</t>
  </si>
  <si>
    <t>měsíc (1,0 FTE)</t>
  </si>
  <si>
    <t>Přímý náklad</t>
  </si>
  <si>
    <t>PN</t>
  </si>
  <si>
    <t>Pracovní smlouva</t>
  </si>
  <si>
    <t>Odborný řešitel - garant aktivity</t>
  </si>
  <si>
    <t xml:space="preserve">Je pro realizaci projektu základním zdrojem znalostí vstupů a výstupů. Je zároveň zástupcem budoucích uživatelů výstupů / produktů projektu.
Je zejména zodpovědný za:
• garanci aktivity po věcné stránce, včetně specifikace výstupů projektu a dosahování hodnot MI a dodržování nákladů aktivit projektu;
• řešení věcných problémů spojených s dosažením cílů projektu;
• metodické řízení lidských zdrojů zajišťující realizaci odborných aktivit projektu;
• věcný obsah výstupů projektu a jejich soulad s požadavky projektu a očekáváním cílové skupiny;
• průběžnou kontrolu konzistence dílčích výstupů projektu směrem k definovaným cílům a přínosům projektu;
• správnost předmětu objednávek a smluv s dodavateli po věcné stránce;
• zajištění alokace času dle harmonogramu aktivit projektu;
• řešení konfliktů mezi prioritami projektu a požadavky cílové skupiny.
</t>
  </si>
  <si>
    <t>Rektorátem</t>
  </si>
  <si>
    <t>Branišovská 31a; 37005 České Budějovice</t>
  </si>
  <si>
    <t>rektorem</t>
  </si>
  <si>
    <t>doc. Tomáš Machula, Ph.D., Th.D.</t>
  </si>
  <si>
    <t>doc. Tomášem Machulou, Ph.D., Th.D.</t>
  </si>
  <si>
    <t>015001</t>
  </si>
  <si>
    <t>Odborný řešitel - profesor 3</t>
  </si>
  <si>
    <t>1.1.1.2.1.1</t>
  </si>
  <si>
    <t>Odborný řešitel - lektor</t>
  </si>
  <si>
    <t>1.1.1.2.2.1</t>
  </si>
  <si>
    <t>Odborný řešitel - lektor expert</t>
  </si>
  <si>
    <t>1.1.1.2.3.1</t>
  </si>
  <si>
    <t>Ředitel projektu</t>
  </si>
  <si>
    <t>1.1.2.1.1.1.1</t>
  </si>
  <si>
    <t>Pro ERDF není DPČ schválenou formou PPV</t>
  </si>
  <si>
    <t>Pro ERDF není DPP schválenou formou PPV</t>
  </si>
  <si>
    <t>1.1.2.1.1.1.01</t>
  </si>
  <si>
    <t>Pro SLNO není DPČ schválenou formou PPV</t>
  </si>
  <si>
    <t>Pro SLNO není DPP schválenou formou PPV</t>
  </si>
  <si>
    <t>Efektivní principy řízení</t>
  </si>
  <si>
    <t>KA1</t>
  </si>
  <si>
    <t>DA1.1</t>
  </si>
  <si>
    <t>Řízení projektu (ERDF)</t>
  </si>
  <si>
    <t>KA3</t>
  </si>
  <si>
    <t>DA3.0</t>
  </si>
  <si>
    <t>Řízení projektu (SLNO)</t>
  </si>
  <si>
    <t>1</t>
  </si>
  <si>
    <t>Rozvoj ESF</t>
  </si>
  <si>
    <t>ZV</t>
  </si>
  <si>
    <t>Ing. Tomáš Lysenko-Chvíla</t>
  </si>
  <si>
    <t>Ing. Václav Lukeš</t>
  </si>
  <si>
    <t>Ing. Veronika Hásová</t>
  </si>
  <si>
    <t>Ing. Marta Havlíčková</t>
  </si>
  <si>
    <t>111 Všeobecná zdravotní pojišťovna ČR</t>
  </si>
  <si>
    <t>Air Bank</t>
  </si>
  <si>
    <t>3030</t>
  </si>
  <si>
    <t>leden</t>
  </si>
  <si>
    <t>NE</t>
  </si>
  <si>
    <t>ženatý/vdaná</t>
  </si>
  <si>
    <t>Rozvoj JU - ERDF</t>
  </si>
  <si>
    <t>CZ.02.2.67/0.0/0.0/16_016/0002356</t>
  </si>
  <si>
    <t>První 1 měsíc</t>
  </si>
  <si>
    <t>hodinu</t>
  </si>
  <si>
    <t>Paušální náklad</t>
  </si>
  <si>
    <t>PaN</t>
  </si>
  <si>
    <t>DPČ</t>
  </si>
  <si>
    <t>Odborný řešitel - fakultní garant 1</t>
  </si>
  <si>
    <t>Je pro realizaci projektu základním zdrojem znalostí vstupů a výstupů. Je zároveň zástupcem budoucích uživatelů výstupů / produktů projektu.– jeho působnost se zužuje pouze na úroveň univerzitní součásti (nejčastěji fakulty) a konkrétní aktivity, pro kterou byl v rámci projektu zaměstnán</t>
  </si>
  <si>
    <t>Ekonomickou fakultou</t>
  </si>
  <si>
    <t>Studentská 13; 37005 České Budějovice</t>
  </si>
  <si>
    <t>děkanem</t>
  </si>
  <si>
    <t>doc. Ing. Ladislav Rolínek, Ph.D.</t>
  </si>
  <si>
    <t>doc. Ing. Ladislavem Rolínkem, Ph.D.</t>
  </si>
  <si>
    <t>Odborný řešitel - profesor 2</t>
  </si>
  <si>
    <t>1.1.1.2.1.2</t>
  </si>
  <si>
    <t>Odborný řešitel - metodik expert 1</t>
  </si>
  <si>
    <t>1.1.1.2.2.2</t>
  </si>
  <si>
    <t>1.1.1.2.3.2</t>
  </si>
  <si>
    <t>Projektový a finanční manažer 2 - 1</t>
  </si>
  <si>
    <t>1.1.2.1.1.1.2</t>
  </si>
  <si>
    <t>Projektový a finanční manažer  2_A</t>
  </si>
  <si>
    <t>1.1.2.1.1.1.02</t>
  </si>
  <si>
    <t>Systém vnitřního zajišťování kvality</t>
  </si>
  <si>
    <t>DA1.2</t>
  </si>
  <si>
    <t>2</t>
  </si>
  <si>
    <t>NV</t>
  </si>
  <si>
    <t>201 Vojenská zdravotní pojišťovna ČR</t>
  </si>
  <si>
    <t>Bank Gutmann Aktiengesellschaft</t>
  </si>
  <si>
    <t>8231</t>
  </si>
  <si>
    <t>únor</t>
  </si>
  <si>
    <t>ovdovělý/á</t>
  </si>
  <si>
    <t>Simulační centrum pro zdravotnické obory Zdravotně sociální fakulty Jihočeské univerzity v Českých Budějovicích</t>
  </si>
  <si>
    <t>CZ.02.2.67/0.0/0.0/16_016/0002409</t>
  </si>
  <si>
    <t>SLNO</t>
  </si>
  <si>
    <t>První 2 měsíce</t>
  </si>
  <si>
    <t>Nepřímý náklad</t>
  </si>
  <si>
    <t>NN</t>
  </si>
  <si>
    <t>DPP</t>
  </si>
  <si>
    <t>Odborný řešitel - fakultní garant 2</t>
  </si>
  <si>
    <t>Filozofickou fakultou</t>
  </si>
  <si>
    <t>prof. PaedDr. Vladimír Papoušek, CSc.</t>
  </si>
  <si>
    <t>prof. PaedDr. Vladimírem Papouškem, CSc.</t>
  </si>
  <si>
    <t>Odborný řešitel - odborný asistent 2</t>
  </si>
  <si>
    <t>1.1.1.2.1.3</t>
  </si>
  <si>
    <t>Projektový a finanční manažer 2 - 2</t>
  </si>
  <si>
    <t>1.1.2.1.1.1.3</t>
  </si>
  <si>
    <t>Projektový a finanční manažer  2_B</t>
  </si>
  <si>
    <t>1.1.2.1.1.1.03</t>
  </si>
  <si>
    <t>Pedagogické kompetence</t>
  </si>
  <si>
    <t>KA2</t>
  </si>
  <si>
    <t>DA2.1</t>
  </si>
  <si>
    <t>3</t>
  </si>
  <si>
    <t>Machula ???</t>
  </si>
  <si>
    <t>205 Česká průmyslová zdravotní pojišťovna</t>
  </si>
  <si>
    <t>Bank of China</t>
  </si>
  <si>
    <t>nemá</t>
  </si>
  <si>
    <t>březen</t>
  </si>
  <si>
    <t>První 3 měsíce</t>
  </si>
  <si>
    <t>Odborný řešitel - profesor 1</t>
  </si>
  <si>
    <t xml:space="preserve">Je hlavním zdrojem znalostí procesu řešení pro realizaci příslušných aktivit projektu. Provádí obsahovou náplň aktivit projektu, tj. odpovídá za zvolené postupy a řešení projektu dle přijatých technických i procedurálních standardů, včetně standardů pro zajištění kvality výstupů projektu. Primárně se soustřeďuje na splnění definovaných cílů projektu z pohledu svých znalostí a je zodpovědný za správnost výstupů, které zpracoval sám nebo na kterých se spolupodílel jako člen skupiny zpracovatelů.
K jeho základním povinnostem patří:
• navržení nebo kontrola návrhu základního řešení výstupu projektu dle definovaného projektového záměru;
• zaručení správnosti a proveditelnosti výstupu projektu;
• trvalé udržování konzistentního, moderního a dostatečně odborného řešení výstupu projektu;
• kompatibilita obsahové stránky řešení se současnými, či plánovanými a již schválenými, v organizaci používanými výstupy/technologiemi /projekty/apod.;
• nastavení jednoznačného a technicky správného věcného předmětu veřejné zakázky vč. její specifikace a následně smlouvy s případným dodavatelem vč. dohledu nad plněním případného dodavatele;
• garance souladu projektových výstupů se světovými trendy;
• průzkum relevantních procedur, zajištění jejich adekvátnosti a efektivnosti, identifikace a případné přijímání nezbytné korektivní akce;
• průběžný monitoring / kontrola kvality dílčích výstupů projektu, které vykonává sám, nebo se spolupodílí na jejich vytvoření;
• identifikace problémů, rizik a neshod, iniciace procedur řízeného řešení problémů;
• uplatňování adekvátních testovacích, inspekčních a přezkumných aktivit, které byly definovány projektovým záměrem a od něho odvozených projektových dokumentů;
</t>
  </si>
  <si>
    <t xml:space="preserve">Pedagogickou fakultou </t>
  </si>
  <si>
    <t>Jeronýmova 10; 37115 České Budějovice</t>
  </si>
  <si>
    <t>Mgr. Michal Vančura, Ph.D.</t>
  </si>
  <si>
    <t>Mgr. Michalem Vančurou, Ph.D.</t>
  </si>
  <si>
    <t>035001</t>
  </si>
  <si>
    <t>Odborný řešitel - odborný asistent 1</t>
  </si>
  <si>
    <t>1.1.1.2.1.4</t>
  </si>
  <si>
    <t>Koordinátor investic</t>
  </si>
  <si>
    <t>1.1.2.1.1.1.4</t>
  </si>
  <si>
    <t>Koordinátor investic_A</t>
  </si>
  <si>
    <t>1.1.2.1.1.1.04</t>
  </si>
  <si>
    <t>Podpora nových metod výuky</t>
  </si>
  <si>
    <t>DA2.2</t>
  </si>
  <si>
    <t>4</t>
  </si>
  <si>
    <t>125001</t>
  </si>
  <si>
    <t>115001</t>
  </si>
  <si>
    <t>065001</t>
  </si>
  <si>
    <t>095001</t>
  </si>
  <si>
    <t>045001</t>
  </si>
  <si>
    <t>075001</t>
  </si>
  <si>
    <t>055001</t>
  </si>
  <si>
    <t>207 Oborová zdravotní poj. zam. bank, poj. a stav.</t>
  </si>
  <si>
    <t>Bank of Tokyo-Mitsubishi</t>
  </si>
  <si>
    <t>2020</t>
  </si>
  <si>
    <t>duben</t>
  </si>
  <si>
    <t>První 4 měsíce</t>
  </si>
  <si>
    <t>Přírodovědeckou fakultou</t>
  </si>
  <si>
    <t>Branišovská 31; 37005 České Budějovice</t>
  </si>
  <si>
    <t>prof. RNDr. František Vácha, Ph.D.</t>
  </si>
  <si>
    <t>prof. RNDr. Františkem Váchou, Ph.D.</t>
  </si>
  <si>
    <t>Odborný řešitel - metodik expert 2</t>
  </si>
  <si>
    <t>1.1.1.2.1.5</t>
  </si>
  <si>
    <t>Administrátor veřejných zakázek</t>
  </si>
  <si>
    <t>1.1.2.1.1.1.5</t>
  </si>
  <si>
    <t>Koordinátor investic_B</t>
  </si>
  <si>
    <t>1.1.2.1.1.1.05</t>
  </si>
  <si>
    <t>Zvýšení počtu předmětů vyučovaných v cizím jazyce</t>
  </si>
  <si>
    <t>DA2.3</t>
  </si>
  <si>
    <t>5</t>
  </si>
  <si>
    <t>209 Zaměstnanecká pojišťovna Škoda</t>
  </si>
  <si>
    <t>BNP Paribas Fortis SA/NV</t>
  </si>
  <si>
    <t>6300</t>
  </si>
  <si>
    <t>květen</t>
  </si>
  <si>
    <t>Prvních 5 měsíců</t>
  </si>
  <si>
    <t>Fakultou rybářství a ochrany vod</t>
  </si>
  <si>
    <t>Zátiší 728/2; 38925 Vodňany</t>
  </si>
  <si>
    <t>prof. Ing. Otomar Linhart, DrSc.</t>
  </si>
  <si>
    <t>prof. Ing. Otomarem Linhartem, DrSc.</t>
  </si>
  <si>
    <t>1.1.1.2.1.6</t>
  </si>
  <si>
    <t>Administrativní síla</t>
  </si>
  <si>
    <t>1.1.2.1.1.1.6</t>
  </si>
  <si>
    <t>Administrátor veřejných zakázek_A</t>
  </si>
  <si>
    <t>1.1.2.1.1.1.06</t>
  </si>
  <si>
    <t>Podpora podnikavosti</t>
  </si>
  <si>
    <t>DA2.4</t>
  </si>
  <si>
    <t>6</t>
  </si>
  <si>
    <t>Jiroušek ???</t>
  </si>
  <si>
    <t>211 Zdravotní pojišťovna ministerstva vnitra ČR</t>
  </si>
  <si>
    <t>Citibank</t>
  </si>
  <si>
    <t>2600</t>
  </si>
  <si>
    <t>červen</t>
  </si>
  <si>
    <t>Prvních 6 měsíců</t>
  </si>
  <si>
    <t>Odborný řešitel - docent 1</t>
  </si>
  <si>
    <t>Teologickou fakultou</t>
  </si>
  <si>
    <t>Kněžská 8; 37001 České Budějovice</t>
  </si>
  <si>
    <t>doc. ThDr. Rudolf Svoboda, Th.D.</t>
  </si>
  <si>
    <t>doc. ThDr. Rudolfem Svobodou, Th.D.</t>
  </si>
  <si>
    <t>Odborný řešitel - metodik 2</t>
  </si>
  <si>
    <t>1.1.1.2.1.7</t>
  </si>
  <si>
    <t>Účetní</t>
  </si>
  <si>
    <t>1.1.2.1.1.1.7</t>
  </si>
  <si>
    <t>Fakultní koordinátor 1_A_stavba a technologie</t>
  </si>
  <si>
    <t>1.1.2.1.1.1.07</t>
  </si>
  <si>
    <t>Úprava stávajících studijních programů SLNO</t>
  </si>
  <si>
    <t>DA3.1</t>
  </si>
  <si>
    <t>7</t>
  </si>
  <si>
    <t>213 Revírní bratrská pokladna, zdrav. pojišťovna</t>
  </si>
  <si>
    <t>COMMERZBANK Aktiengesellschaft</t>
  </si>
  <si>
    <t>6200</t>
  </si>
  <si>
    <t>červenec</t>
  </si>
  <si>
    <t>Odborný řešitel - docent 2</t>
  </si>
  <si>
    <t>Zdravotně sociální fakultou</t>
  </si>
  <si>
    <t>J. Boreckého 1167/27; 37011 České Budějovice</t>
  </si>
  <si>
    <t>prof. PhDr. Valérie Tóthová, Ph.D.</t>
  </si>
  <si>
    <t>prof. PhDr. Valérií Tóthovou, Ph.D.</t>
  </si>
  <si>
    <t>Odborný řešitel - metodik</t>
  </si>
  <si>
    <t>1.1.1.2.1.8</t>
  </si>
  <si>
    <t>Fakultní koordinátor 2 - EF</t>
  </si>
  <si>
    <t>1.1.2.1.1.1.8</t>
  </si>
  <si>
    <t>Fakultní koordinátor 2_B_technologie</t>
  </si>
  <si>
    <t>1.1.2.1.1.1.08</t>
  </si>
  <si>
    <t>Tvorba modulárních studijních programů ZSF</t>
  </si>
  <si>
    <t>DA3.2</t>
  </si>
  <si>
    <t>8</t>
  </si>
  <si>
    <t>Crédit Agricole</t>
  </si>
  <si>
    <t>5000</t>
  </si>
  <si>
    <t>srpen</t>
  </si>
  <si>
    <t>Zemedělskou fakultou</t>
  </si>
  <si>
    <t>Studentská 1668; 37005 České Budějovice</t>
  </si>
  <si>
    <t>prof. Ing. Miloslav Šoch, CSc., dr. h. c.</t>
  </si>
  <si>
    <t>prof. Ing. Miloslavem Šochem, CSc., dr. h. c.</t>
  </si>
  <si>
    <t>Odborný řešitel - mentor</t>
  </si>
  <si>
    <t>1.1.1.2.1.9</t>
  </si>
  <si>
    <t>Fakultní koordinátor 2 - FF</t>
  </si>
  <si>
    <t>1.1.2.1.1.1.9</t>
  </si>
  <si>
    <t>1.1.2.1.1.1.09</t>
  </si>
  <si>
    <t>Tvorba a rozvoj systému spolupráce s absolventy a zaměstnavateli</t>
  </si>
  <si>
    <t>KA4</t>
  </si>
  <si>
    <t>DA4.0</t>
  </si>
  <si>
    <t>9</t>
  </si>
  <si>
    <t>Bauman ???</t>
  </si>
  <si>
    <t>Česká exportní banka</t>
  </si>
  <si>
    <t>8090</t>
  </si>
  <si>
    <t>září</t>
  </si>
  <si>
    <t>1.1.1.2.1.10</t>
  </si>
  <si>
    <t>Fakultní koordinátor 2 - PF</t>
  </si>
  <si>
    <t>1.1.2.1.1.1.10</t>
  </si>
  <si>
    <t>Systémové posílení internacionalizace</t>
  </si>
  <si>
    <t>KA5</t>
  </si>
  <si>
    <t>DA5.0</t>
  </si>
  <si>
    <t>10</t>
  </si>
  <si>
    <t>Česká národní banka</t>
  </si>
  <si>
    <t>0710</t>
  </si>
  <si>
    <t>říjen</t>
  </si>
  <si>
    <t>Odborný řešitel - asistent</t>
  </si>
  <si>
    <t>1.1.1.2.1.11</t>
  </si>
  <si>
    <t>Fakultní koordinátor 2 - TF</t>
  </si>
  <si>
    <t>1.1.2.1.1.1.11</t>
  </si>
  <si>
    <t>Řízení projektu (ESF)</t>
  </si>
  <si>
    <t>KA6</t>
  </si>
  <si>
    <t>DA6.0</t>
  </si>
  <si>
    <t>11</t>
  </si>
  <si>
    <t>Česká spořitelna</t>
  </si>
  <si>
    <t>0800</t>
  </si>
  <si>
    <t>listopad</t>
  </si>
  <si>
    <t>1.1.1.2.1.12</t>
  </si>
  <si>
    <t>Fakultní koordinátor 2 - ZF</t>
  </si>
  <si>
    <t>1.1.2.1.1.1.12</t>
  </si>
  <si>
    <t>12</t>
  </si>
  <si>
    <t>Českomoravská stavební spořitelna</t>
  </si>
  <si>
    <t>7960</t>
  </si>
  <si>
    <t>prosinec</t>
  </si>
  <si>
    <t>1.1.1.2.1.13</t>
  </si>
  <si>
    <t>IT specialista 1</t>
  </si>
  <si>
    <t>1.1.2.1.1.1.13</t>
  </si>
  <si>
    <t>13</t>
  </si>
  <si>
    <t>Českomoravská záruční a rozvojová banka</t>
  </si>
  <si>
    <t>4300</t>
  </si>
  <si>
    <t>Součet</t>
  </si>
  <si>
    <t>1.1.1.2.1.14</t>
  </si>
  <si>
    <t>14</t>
  </si>
  <si>
    <t>Československá obchodní banka</t>
  </si>
  <si>
    <t>0300</t>
  </si>
  <si>
    <t>1.1.1.2.1.15</t>
  </si>
  <si>
    <t>15</t>
  </si>
  <si>
    <t>Deutsche Bank</t>
  </si>
  <si>
    <t>7910</t>
  </si>
  <si>
    <t xml:space="preserve">Odborný řešitel - metodik </t>
  </si>
  <si>
    <t>Odborný řešitel - analytik expert 2</t>
  </si>
  <si>
    <t>1.1.1.2.1.16</t>
  </si>
  <si>
    <t>16</t>
  </si>
  <si>
    <t>Equa bank</t>
  </si>
  <si>
    <t>6100</t>
  </si>
  <si>
    <t>Odborný řešitel - analytik expert 1</t>
  </si>
  <si>
    <t>1.1.1.2.1.17</t>
  </si>
  <si>
    <t>17</t>
  </si>
  <si>
    <t>ERB Bank</t>
  </si>
  <si>
    <t>2210</t>
  </si>
  <si>
    <t>Odborný řešitel - expert</t>
  </si>
  <si>
    <t>Odborný řešitel - analytik</t>
  </si>
  <si>
    <t>1.1.1.2.1.18</t>
  </si>
  <si>
    <t>18</t>
  </si>
  <si>
    <t>Expobank</t>
  </si>
  <si>
    <t>4000</t>
  </si>
  <si>
    <t>Odborný řešitel - oponent/supervizor</t>
  </si>
  <si>
    <t>Multimediální technik</t>
  </si>
  <si>
    <t>1.1.1.2.1.19</t>
  </si>
  <si>
    <t>19</t>
  </si>
  <si>
    <t>Fio banka</t>
  </si>
  <si>
    <t>2010</t>
  </si>
  <si>
    <t>IT specialista 2</t>
  </si>
  <si>
    <t>1.1.1.2.1.20</t>
  </si>
  <si>
    <t>20</t>
  </si>
  <si>
    <t>HSBC Bank plc - pobočka Praha</t>
  </si>
  <si>
    <t>8150</t>
  </si>
  <si>
    <t>IT Specialista 1</t>
  </si>
  <si>
    <t>1.1.1.2.1.21</t>
  </si>
  <si>
    <t>21</t>
  </si>
  <si>
    <t>Hypoteční banka</t>
  </si>
  <si>
    <t>2100</t>
  </si>
  <si>
    <t>Překladatel</t>
  </si>
  <si>
    <t>1.1.1.2.1.22</t>
  </si>
  <si>
    <t>22</t>
  </si>
  <si>
    <t>Závodská ???</t>
  </si>
  <si>
    <t>ING Bank N. V.</t>
  </si>
  <si>
    <t>3500</t>
  </si>
  <si>
    <t>1.1.1.1.1.1</t>
  </si>
  <si>
    <t>23</t>
  </si>
  <si>
    <t>J&amp;T BANKA</t>
  </si>
  <si>
    <t>5800</t>
  </si>
  <si>
    <t xml:space="preserve">Je hlavní výkonná pozice při realizaci projektu, je plně odpovědný za realizaci aktivit projektu sponzorovi/donátorovi projektu, resp. monitorovacímu výboru projektu.
Odpovídá především za včasné plnění cílů, harmonogramu projektu a rozpočtu projektu. Ve spolupráci s ostatními členy odborného i realizačního týmu provádí rozhodnutí, která mají vliv na úspěšnou realizaci projektu.
Má jasně deklarovanou pravomoc řídit projekt na dennodenní výkonné bázi. Je oprávněn rozhodovat samostatně v rámci platných smluvních vztahů, rozhodnutí překračující stanovený smluvní rámec je povinen eskalovat na úroveň monitorovacího výboru projektu či vedení univerzity. Toleranční meze projektu budou stanoveny při zahájení projektu monitorovacím výborem v závislosti na typu a rozsahu projektu.
Do jeho náplně a odpovědnosti patří především:
• řízení a koordinace projektu jako celku;
• plánování projektu (krátkodobé, střednědobé, dlouhodobé);
• řízení realizace projektu v čase, rozsahu a kvalitě tak, aby byly naplněny definované cíle projektu (řízení a koordinace dílčích aktivit projektu po stránce obsahové i časové);
• identifikace a řízení rizik projektu, příp. realizace preventivních a nápravných opatření;
• řízení (úkolování) členů týmů;
• definování specifické náplně práce členů realizačního a v případě absence Odborného řešitele – Garanta aktivity i odborného týmu;
• zabezpečení informovanosti v rámci projektu;
• zabezpečení součinnosti a synchronizace vzájemně závislých aktivit týmů projektu; 
• monitoring / kontrola projektu;
• koordinace činností případných dodavatelů a zástupců třetích stran zapojovaných do projektu;
• kontrola podkladů od případného dodavatele z hlediska věcné správnosti;
• předkládání a projednávání požadavků na změnu projektu se všemi zainteresovanými stranami;
• rozhodování o nepodstatných změnách projektu definovaných tolerancemi; 
• autorizace formálních dokumentů projektu (např. zápisy z jednání, předávací protokoly, faktury apod.);
• sledování a vyhodnocování kvality výstupů vytvářené odborným týmem,
• dohled nad obsahovým řízením projektu, příp. administrativním řízením projektu v rámci definovaného rozpočtu pokud není přítomen administrativní ředitel;
• reporting – spolupráce na přípravě a koordinace přípravy potřebných podkladů pro příslušnou monitorovací úroveň v a předkládání těchto dokumentů v požadované kvalitě a čase příslušným pracovníkům;
• řízení procedur řešení problémů a rozhodování případných sporů (v souladu s jednotně stanovenými postupy), které nevyžadují rozhodnutí monitorovacího výboru;
• eskalace nevyřešených problémů na vyšší úroveň řízení – monitorovací výbor projektu.
</t>
  </si>
  <si>
    <t>Projektový a finanční manažer 2</t>
  </si>
  <si>
    <t>1.1.1.1.1.2</t>
  </si>
  <si>
    <t>24</t>
  </si>
  <si>
    <t>Komerční banka</t>
  </si>
  <si>
    <t>0100</t>
  </si>
  <si>
    <t>Administrativní ředitel projektu</t>
  </si>
  <si>
    <t xml:space="preserve">Je zodpovědný za řízení a výsledky realizačního týmu (týmu zodpovědného za administrativní řízení projektu – resp. povinné aktivity „Řízení projektu“) v předem stanoveném rozsahu a oblasti. 
Je podřízen Řediteli projektu, který ho pravidelně kontroluje a přiděluje mu potřebné úkoly.
Je především zodpovědný za:
• vykonávaní práce v definovaném rozsahu, kvalitě a čase,
• detailní plánování, řízení a vyhodnocování činností až na úroveň jednotlivých členů realizačního týmu,
• řešení problémů při realizaci projektu, případně eskalaci problému na vyšší úroveň projektového řízení,
• sledování a vyhodnocování kvality výstupů vytvářené realizačním týmem,
• hodnocení jednotlivých členů realizačního týmu,
• návrhy odměňování a „sankcionování“ jednotlivých členů realizačního týmu řediteli projektu,
• aktualizaci a sledování identifikovaných rizik projektu,
• vyhotovení a předávání zpráv o postupu realizace projektu projektovému manažerovi.
• kontrolu podkladů od případného dodavatele z hlediska formální správnosti;
• dohled nad administrativním řízením projektu, příp. věcném řízení projektu v rámci definovaného rozpočtu pokud není přítomen ředitel projektu;
• reporting – spolupráce na přípravě a koordinace přípravy potřebných podkladů pro příslušnou monitorovací úroveň v a předkládání těchto dokumentů v požadované kvalitě a čase příslušným pracovníkům;eskalaci problémů na vyšší úroveň řízení – příslušnou úroveň projektu.
</t>
  </si>
  <si>
    <t>Personalista</t>
  </si>
  <si>
    <t>1.1.1.1.1.3</t>
  </si>
  <si>
    <t>25</t>
  </si>
  <si>
    <t>mBank</t>
  </si>
  <si>
    <t>6210</t>
  </si>
  <si>
    <t>Projektový a finanční manažer 1</t>
  </si>
  <si>
    <t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t>
  </si>
  <si>
    <t>Fakultní koordinátor 2</t>
  </si>
  <si>
    <t>1.1.1.1.1.4</t>
  </si>
  <si>
    <t>26</t>
  </si>
  <si>
    <t>Meinl bank</t>
  </si>
  <si>
    <t>Fakultní koordinátor 1</t>
  </si>
  <si>
    <t>1.1.1.1.1.5</t>
  </si>
  <si>
    <t>27</t>
  </si>
  <si>
    <t>Modrá pyramida stavební spořitelna</t>
  </si>
  <si>
    <t>7990</t>
  </si>
  <si>
    <t>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t>
  </si>
  <si>
    <t>1.1.1.1.1.6</t>
  </si>
  <si>
    <t>28</t>
  </si>
  <si>
    <t>MONETA Money Bank</t>
  </si>
  <si>
    <t>0600</t>
  </si>
  <si>
    <t>1.1.1.1.1.7</t>
  </si>
  <si>
    <t>29</t>
  </si>
  <si>
    <t>Oberbank AG</t>
  </si>
  <si>
    <t>8040</t>
  </si>
  <si>
    <t xml:space="preserve">K jeho základním povinnostem patří:
• samostatné zajišťování investičních agend;
• poradenství v oblasti jeho působnosti, školící práce v oblasti jeho působnosti;
• příprava a realizace jednotlivých investic menšího rozsahu nebo části velkých investic;
• shromažďování a vyhodnocování požadavků na výstavbu, zpracování zadávacích listů; 
• zpracování návrhů investičních plánů, výběrových řízení investičních akcí po věcné stránce; 
• koordinace účastníků investičních akcí;
• případně provádění stavebního dozoru, příprava a zajišťování dokumentace pro stavební povolení apod.
• úzká spolupráce s Projektovým a finančním manažerem projektu, kterému je povinen řádně a včas zajistit potřebné podklady pro monitorování projektu ve vztahu k poskytovateli dotace.
</t>
  </si>
  <si>
    <t>1.1.1.1.1.8</t>
  </si>
  <si>
    <t>30</t>
  </si>
  <si>
    <t>Poštová banka, a.s.</t>
  </si>
  <si>
    <t>2240</t>
  </si>
  <si>
    <t xml:space="preserve">K jeho základním povinnostem patří:
• zajištění realizace výběrového řízení, pokud je pro projekt vyžadována dodávka externím dodavatelem;
• plánování a koordinace včasné přípravy obsahu plánovaných veřejných zakázek projektu;
• zabezpečení realizační stránky plánovaných veřejných zakázek projektu.
• úzká spolupráce s Projektovým a finančním manažerem projektu, kterému je povinen řádně a včas zajistit potřebné podklady pro monitorování projektu ve vztahu k poskytovateli dotace.
</t>
  </si>
  <si>
    <t>31</t>
  </si>
  <si>
    <t>Poštovní spořitelna</t>
  </si>
  <si>
    <t xml:space="preserve">K jeho základním povinnostem patří:
• přípravu a zpracování podkladů pro mzdovou agendu a agendu odměn z dohod konaných mimo hlavní pracovní poměr v rámci projektu, a to vč. sběru, kontroly a zpracování výkazů práce;
• úzká spolupráce s Projektovým a finančním manažerem projektu, kterému je povinen řádně a včas zajistit potřebné podklady pro monitorování projektu ve vztahu k poskytovateli dotace.
</t>
  </si>
  <si>
    <t>32</t>
  </si>
  <si>
    <t>PPF banka</t>
  </si>
  <si>
    <t>6000</t>
  </si>
  <si>
    <t xml:space="preserve">K jeho základním povinnostem patří:
• komplexní zpracování prvotních dokladů projektu a provádění veškerých účetních operací v rámci účetní evidence projektu.
• úzká spolupráce s Projektovým a finančním manažerem projektu, kterému je povinen řádně a včas zajistit potřebné podklady pro monitorování projektu ve vztahu k poskytovateli dotace.
</t>
  </si>
  <si>
    <t>33</t>
  </si>
  <si>
    <t>PRIVAT BANK AG</t>
  </si>
  <si>
    <t>8200</t>
  </si>
  <si>
    <t>Právník</t>
  </si>
  <si>
    <t xml:space="preserve">K jeho základním povinnostem patří:
• zajištění právní správnosti veškeré relevantní dokumentace projektu;
• soulad projektu a veškerých projektových činností s platnou legislativou České republiky, resp. Evropské unie;
• správnost veškerých smluvních vztahů a dalších s projektem souvisejících právních úkonů.
</t>
  </si>
  <si>
    <t>34</t>
  </si>
  <si>
    <t>Raiffeisen stavební spořitelna</t>
  </si>
  <si>
    <t>7950</t>
  </si>
  <si>
    <t xml:space="preserve">K základním povinnostem pozice patří:
• poskytování administrativní podpory odbornému/realizačnímu týmu. 
• vedení a správa dokumentace projektu vč. její archivace;
• distribuce jednotlivých verzí relevantních dokumentů projektu;
• kontrola plnění plánovaných i operativních administrativních úkonů vyplývajících z harmonogramu projektu a ze zápisů z porad;
• organizace porad podle projektového plánu a členů týmů;
• druhotná kontrola dodržování postupů práce s formalizovanými dokumenty a správné užívání všech formulářů a standardů;
úzká spolupráce s Projektovým a finančním manažerem projektu, kterému je povinen řádně a včas zajistit potřebné podklady pro monitorování projektu ve vztahu k poskytovateli dotace.
</t>
  </si>
  <si>
    <t>35</t>
  </si>
  <si>
    <t>Raiffeisenbank</t>
  </si>
  <si>
    <t>5500</t>
  </si>
  <si>
    <t xml:space="preserve">Je hlavním zdrojem znalostí procesu řešení pro realizaci projektu pro IT/ICT odbornost. Garantuje technickou správnost výstupů projektu, tj. odpovídá za zvolené postupy a řešení projektu dle přijatých technických i procedurálních standardů, včetně standardů pro zajištění jakosti projektu, a to z pohledu IT/ICT. 
K jeho základním povinnostem patří:
• navržení nebo kontrola návrhu základního technického řešení výstupů projektu dle definovaného projektového záměru;
• zaručení technické správnosti a proveditelnosti řešení;
• trvalé udržování konzistentního, moderního a dostatečně technologicky robustního řešení na jeho nízkých technologických vrstvách až po síťovou vrstvu včetně;
• kompatibilita technické stránky řešení se současnými, či plánovanými a již schválenými, v organizaci používanými technologiemi a projekty;
• zajištění jednoznačnosti a technické správnosti předmětu smlouvy s dodavatelem (z pohledu IT/ICT);
• oponentura a schválení řešení od případného dodavatele IT/ICT řešení;
• garance souladu IT/ICT výstupů nebo jejich částí se světovými technologickými trendy;
• průzkum technických a technologických procedur, zajištění jejich adekvátnosti a efektivnosti, identifikace a případné přijímání nezbytné korektivní akce;
• průběžný monitoring / kontrola kvality dílčích výstupů projektu po technické stránce;
• identifikace technických a technologických problémů a neshod, iniciace procedur řízeného řešení problémů;
• uplatňování adekvátních testovacích, inspekčních a přezkumných aktivit, které byly definovány projektovým plánem a od něho odvozených projektových dokumentů;
• definice bezpečnostních omezení projektu i univerzity a dohled na jejich dodržování;
• zajištění souladu provedených technických/technologických řešení s evropskou, národní i interní legislativou.
</t>
  </si>
  <si>
    <t>36</t>
  </si>
  <si>
    <t>Raiffeisenbank im Stiftland eG</t>
  </si>
  <si>
    <t>8030</t>
  </si>
  <si>
    <t>37</t>
  </si>
  <si>
    <t>Royal Bank of Scotland</t>
  </si>
  <si>
    <t>5400</t>
  </si>
  <si>
    <t>Manažer pro publicitu</t>
  </si>
  <si>
    <t xml:space="preserve">K jeho základním povinnostem patří:
• metodická činnost v oblasti publicity, vč. tzv. „povinné publicity“ z pohledu poskytovatele dotace;
• koordinace spolupráce součástí JU a jejich organizačních jednotek při zajišťování styků s  ostatními institucemi a organizacemi regionálního, republikového a mezinárodního charakteru, a to především ve vazbě na „povinnou publicitu“.
</t>
  </si>
  <si>
    <t>38</t>
  </si>
  <si>
    <t>Saxo Bank A/S</t>
  </si>
  <si>
    <t>8211</t>
  </si>
  <si>
    <t>Analytik</t>
  </si>
  <si>
    <t xml:space="preserve">Projektová role analytika je zásadní součástí realizačního týmu. 
K jeho základním povinnostem patří:
• včasné komplexní zpracování potřebných podkladů a dat pro potřeby analytického sledování výstupů, monitorovacích indikátorů a synergicky provázaných finančních ukazatelů 
• plánování a koordinaci plnění výstupů a MI projektu; 
• uplatňování dodržování pravidel poskytovatele dotace a jiných pravidel (zákonných, vnitřních předpisů apod.) v rámci projektu – především ve vazbě na výstupy a MI;
• spolupráce na tvorbě rozpočtových výhledů projektu, na předkládání monitorovacích zpráv, žádostí o platbu a dalších periodických zpráv a žádostí dotačního projektu;
• spolupráci s pracovníky odborných útvarů/oddělení/odborů/apod. univerzity vykonávající činnosti ve prospěch projektu;
• úzká spolupráce s Projektovým a finančním manažerem projektu, kterému je povinen řádně a včas zajistit potřebné podklady pro monitorování projektu ve vztahu k poskytovateli dotace.
</t>
  </si>
  <si>
    <t>39</t>
  </si>
  <si>
    <t>Sberbank CZ</t>
  </si>
  <si>
    <t>6800</t>
  </si>
  <si>
    <t xml:space="preserve">K jeho základním povinnostem patří:
• zpracování audiovizuálních záznamů, jejich následná úprava a finalizace do podoby finálního výstupu projektu.
</t>
  </si>
  <si>
    <t>40</t>
  </si>
  <si>
    <t>Stavební spořitelna České spořitelny</t>
  </si>
  <si>
    <t>8060</t>
  </si>
  <si>
    <t xml:space="preserve">K jeho základním povinnostem patří:
• překladatelská a korektorská činnost.
</t>
  </si>
  <si>
    <t>41</t>
  </si>
  <si>
    <t>Sumitomo Mitsui Banking Corporation Europe</t>
  </si>
  <si>
    <t>8241</t>
  </si>
  <si>
    <t>42</t>
  </si>
  <si>
    <t>UniCredit Bank</t>
  </si>
  <si>
    <t>2700</t>
  </si>
  <si>
    <t>43</t>
  </si>
  <si>
    <t>Volksbank Löbau-Zittau eG</t>
  </si>
  <si>
    <t>8221</t>
  </si>
  <si>
    <t>44</t>
  </si>
  <si>
    <t>Kof</t>
  </si>
  <si>
    <t>Všeobecná úverová banka</t>
  </si>
  <si>
    <t>6700</t>
  </si>
  <si>
    <t>45</t>
  </si>
  <si>
    <t>Waldviertler Sparkasse von 1842 AG</t>
  </si>
  <si>
    <t>7940</t>
  </si>
  <si>
    <t>46</t>
  </si>
  <si>
    <t>Western Union International Bank</t>
  </si>
  <si>
    <t>3040</t>
  </si>
  <si>
    <t>47</t>
  </si>
  <si>
    <t>Wüstenrot - stavební spořitelna</t>
  </si>
  <si>
    <t>7970</t>
  </si>
  <si>
    <t>48</t>
  </si>
  <si>
    <t>Wüstenrot hypoteční banka</t>
  </si>
  <si>
    <t>7980</t>
  </si>
  <si>
    <t>49</t>
  </si>
  <si>
    <t>Zuno</t>
  </si>
  <si>
    <t>2310</t>
  </si>
  <si>
    <t>50</t>
  </si>
  <si>
    <t>Akcenta</t>
  </si>
  <si>
    <t>2030</t>
  </si>
  <si>
    <t>51</t>
  </si>
  <si>
    <t>ANO spořitelní družstvo</t>
  </si>
  <si>
    <t>52</t>
  </si>
  <si>
    <t>Artesa</t>
  </si>
  <si>
    <t>53</t>
  </si>
  <si>
    <t>Rozvoj ERDF</t>
  </si>
  <si>
    <t>Modernizace infrastruktury pro nové metody výuky – Ekonomická fakulta JU</t>
  </si>
  <si>
    <t>Kropáčková ???</t>
  </si>
  <si>
    <t>Ing. Hynek Rossmüller</t>
  </si>
  <si>
    <t>Bc. Lucie Brucknerová</t>
  </si>
  <si>
    <t>Creditas</t>
  </si>
  <si>
    <t>2250</t>
  </si>
  <si>
    <t>54</t>
  </si>
  <si>
    <t>Moravský peněžní ústav</t>
  </si>
  <si>
    <t>2070</t>
  </si>
  <si>
    <t>55</t>
  </si>
  <si>
    <t>Modernizace infrastruktury pro nové metody výuky – Filozofická fakulta JU</t>
  </si>
  <si>
    <t>Peněžní dům</t>
  </si>
  <si>
    <t>2200</t>
  </si>
  <si>
    <t>56</t>
  </si>
  <si>
    <t>Citfin spořitelní družstvo</t>
  </si>
  <si>
    <t>2060</t>
  </si>
  <si>
    <t>57</t>
  </si>
  <si>
    <t>Modernizace infrastruktury pro nové metody výuky – Pedagogická fakulta JU</t>
  </si>
  <si>
    <t>DA1.3</t>
  </si>
  <si>
    <t>České spořitelní družstvo</t>
  </si>
  <si>
    <t>58</t>
  </si>
  <si>
    <t>Družstevní záložna Kredit</t>
  </si>
  <si>
    <t>59</t>
  </si>
  <si>
    <t>Modernizace infrastruktury pro nové metody výuky – Teologická fakulta JU</t>
  </si>
  <si>
    <t>DA1.4</t>
  </si>
  <si>
    <t>Družstevní záložna PSD</t>
  </si>
  <si>
    <t>60</t>
  </si>
  <si>
    <t>Podnikatelská družstevní záložna</t>
  </si>
  <si>
    <t>61</t>
  </si>
  <si>
    <t>Modernizace infrastruktury pro nové metody výuky – Zemědělská fakulta JU</t>
  </si>
  <si>
    <t>DA1.5</t>
  </si>
  <si>
    <t>62</t>
  </si>
  <si>
    <t>63</t>
  </si>
  <si>
    <t>Podpora distančního vzdělávání</t>
  </si>
  <si>
    <t>DA2.0</t>
  </si>
  <si>
    <t>64</t>
  </si>
  <si>
    <t>65</t>
  </si>
  <si>
    <t>66</t>
  </si>
  <si>
    <t>67</t>
  </si>
  <si>
    <t>68</t>
  </si>
  <si>
    <t>69</t>
  </si>
  <si>
    <t>70</t>
  </si>
  <si>
    <t>71</t>
  </si>
  <si>
    <t>72</t>
  </si>
  <si>
    <t>73</t>
  </si>
  <si>
    <t>74</t>
  </si>
  <si>
    <t>75</t>
  </si>
  <si>
    <t>76</t>
  </si>
  <si>
    <t>77</t>
  </si>
  <si>
    <t>78</t>
  </si>
  <si>
    <t>79</t>
  </si>
  <si>
    <t>80</t>
  </si>
  <si>
    <t>81</t>
  </si>
  <si>
    <t>82</t>
  </si>
  <si>
    <t>SLNO příprava</t>
  </si>
  <si>
    <t>83</t>
  </si>
  <si>
    <t>Prohlašuji, že veškeré údaje uvedené v tomto pracovním výkazu jsou pravdivé a že souhrnná výše mých úvazků u všech zaměstnavatelů nepřekračuje 1,2 FTE/měsíc.</t>
  </si>
  <si>
    <t>1.1.1.2.2.3</t>
  </si>
  <si>
    <t>1.1.1.2.2.4</t>
  </si>
  <si>
    <t>1.1.1.2.3.3</t>
  </si>
  <si>
    <t>ver.: pro JU (ESF;ERDF;SLNO) k 1.8.2018</t>
  </si>
  <si>
    <t xml:space="preserve">Kontrola </t>
  </si>
  <si>
    <t>Fond pracovní doby za daný měsíc 
vč. placených svátků (FPD) za úvazek 1,0</t>
  </si>
  <si>
    <t>FPD za úvazek v projektu</t>
  </si>
  <si>
    <r>
      <t xml:space="preserve">Počet skutečně odpracovaných a hrazených hodin pro projekt </t>
    </r>
    <r>
      <rPr>
        <b/>
        <sz val="10"/>
        <color indexed="17"/>
        <rFont val="Arial Narrow"/>
        <family val="2"/>
        <charset val="238"/>
      </rPr>
      <t xml:space="preserve"> </t>
    </r>
    <r>
      <rPr>
        <b/>
        <sz val="10"/>
        <rFont val="Arial Narrow"/>
        <family val="2"/>
        <charset val="238"/>
      </rPr>
      <t>v režimu přímých výdajů za sledované období</t>
    </r>
  </si>
  <si>
    <t>Počet hodin, za něž NEBYLA z projektu hrazena náhrada</t>
  </si>
  <si>
    <t>Jiří Alina</t>
  </si>
  <si>
    <t>DA 2.3 - rešerše</t>
  </si>
  <si>
    <t>DA 2.3 - tvorba materiálů</t>
  </si>
  <si>
    <t>rešerše zdrojů na téma růstové modely</t>
  </si>
  <si>
    <t>Prezentace 6  - growth models</t>
  </si>
  <si>
    <t>Prezentace 7  - open economy  models</t>
  </si>
  <si>
    <t>rešerše zdrojů na téma open economy  models</t>
  </si>
  <si>
    <t>rešerše zdrojů na téma monetary policy, exchange rate</t>
  </si>
  <si>
    <t>Prezentace 8-9  - open economy  models, exchange rate</t>
  </si>
  <si>
    <t>skripta část 5, 6 - open economy  models, exchange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</si>
</sst>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K_č_-;\-* #,##0.00\ _K_č_-;_-* &quot;-&quot;??\ _K_č_-;_-@_-"/>
    <numFmt numFmtId="164" formatCode="mmmm"/>
    <numFmt numFmtId="165" formatCode="[$-405]mmmm\ yy;@"/>
    <numFmt numFmtId="166" formatCode="mmmm\ yyyy"/>
    <numFmt numFmtId="167" formatCode="0.0"/>
  </numFmts>
  <fonts count="38" x14ac:knownFonts="1">
    <font>
      <sz val="11"/>
      <color theme="1"/>
      <name val="Calibri"/>
      <family val="2"/>
      <scheme val="minor"/>
    </font>
    <font>
      <sz val="11"/>
      <color theme="1"/>
      <name val="Calibri"/>
      <family val="2"/>
      <charset val="238"/>
      <scheme val="minor"/>
    </font>
    <font>
      <sz val="11"/>
      <color theme="1"/>
      <name val="Calibri"/>
      <family val="2"/>
      <scheme val="minor"/>
    </font>
    <font>
      <sz val="9"/>
      <color indexed="81"/>
      <name val="Tahoma"/>
      <family val="2"/>
      <charset val="238"/>
    </font>
    <font>
      <sz val="11"/>
      <color rgb="FFFF0000"/>
      <name val="Calibri"/>
      <family val="2"/>
      <charset val="238"/>
      <scheme val="minor"/>
    </font>
    <font>
      <b/>
      <sz val="11"/>
      <color theme="1"/>
      <name val="Calibri"/>
      <family val="2"/>
      <charset val="238"/>
      <scheme val="minor"/>
    </font>
    <font>
      <sz val="10"/>
      <color theme="1"/>
      <name val="Calibri"/>
      <family val="2"/>
      <charset val="238"/>
      <scheme val="minor"/>
    </font>
    <font>
      <sz val="11"/>
      <color theme="8"/>
      <name val="Calibri"/>
      <family val="2"/>
      <charset val="238"/>
      <scheme val="minor"/>
    </font>
    <font>
      <sz val="11"/>
      <name val="Calibri"/>
      <family val="2"/>
      <charset val="238"/>
      <scheme val="minor"/>
    </font>
    <font>
      <sz val="11"/>
      <color theme="2" tint="-0.499984740745262"/>
      <name val="Calibri"/>
      <family val="2"/>
      <charset val="238"/>
      <scheme val="minor"/>
    </font>
    <font>
      <b/>
      <sz val="12"/>
      <color theme="1"/>
      <name val="Calibri"/>
      <family val="2"/>
      <charset val="238"/>
      <scheme val="minor"/>
    </font>
    <font>
      <b/>
      <sz val="10"/>
      <color theme="1"/>
      <name val="Calibri"/>
      <family val="2"/>
      <charset val="238"/>
      <scheme val="minor"/>
    </font>
    <font>
      <b/>
      <sz val="11"/>
      <name val="Calibri"/>
      <family val="2"/>
      <charset val="238"/>
      <scheme val="minor"/>
    </font>
    <font>
      <b/>
      <sz val="8"/>
      <color theme="1"/>
      <name val="Calibri"/>
      <family val="2"/>
      <charset val="238"/>
      <scheme val="minor"/>
    </font>
    <font>
      <b/>
      <sz val="11"/>
      <color theme="2" tint="-0.499984740745262"/>
      <name val="Calibri"/>
      <family val="2"/>
      <charset val="238"/>
      <scheme val="minor"/>
    </font>
    <font>
      <sz val="10"/>
      <color theme="1"/>
      <name val="Arial Narrow"/>
      <family val="2"/>
      <charset val="238"/>
    </font>
    <font>
      <b/>
      <sz val="11"/>
      <color rgb="FFFF0000"/>
      <name val="Calibri"/>
      <family val="2"/>
      <charset val="238"/>
      <scheme val="minor"/>
    </font>
    <font>
      <b/>
      <sz val="9"/>
      <color indexed="81"/>
      <name val="Tahoma"/>
      <family val="2"/>
      <charset val="238"/>
    </font>
    <font>
      <sz val="10"/>
      <name val="Arial Narrow"/>
      <family val="2"/>
      <charset val="238"/>
    </font>
    <font>
      <b/>
      <sz val="16"/>
      <name val="Arial Narrow"/>
      <family val="2"/>
      <charset val="238"/>
    </font>
    <font>
      <sz val="11"/>
      <color theme="1"/>
      <name val="Arial Narrow"/>
      <family val="2"/>
      <charset val="238"/>
    </font>
    <font>
      <b/>
      <sz val="10"/>
      <name val="Arial Narrow"/>
      <family val="2"/>
      <charset val="238"/>
    </font>
    <font>
      <b/>
      <sz val="11"/>
      <color theme="1"/>
      <name val="Arial Narrow"/>
      <family val="2"/>
      <charset val="238"/>
    </font>
    <font>
      <sz val="8"/>
      <name val="Arial Narrow"/>
      <family val="2"/>
      <charset val="238"/>
    </font>
    <font>
      <b/>
      <sz val="10"/>
      <color indexed="17"/>
      <name val="Arial Narrow"/>
      <family val="2"/>
      <charset val="238"/>
    </font>
    <font>
      <sz val="10"/>
      <color theme="0"/>
      <name val="Arial Narrow"/>
      <family val="2"/>
      <charset val="238"/>
    </font>
    <font>
      <b/>
      <i/>
      <sz val="9"/>
      <name val="Arial Narrow"/>
      <family val="2"/>
      <charset val="238"/>
    </font>
    <font>
      <b/>
      <i/>
      <sz val="10"/>
      <name val="Arial Narrow"/>
      <family val="2"/>
      <charset val="238"/>
    </font>
    <font>
      <i/>
      <sz val="11"/>
      <color theme="1" tint="0.249977111117893"/>
      <name val="Arial Narrow"/>
      <family val="2"/>
      <charset val="238"/>
    </font>
    <font>
      <sz val="9"/>
      <color theme="1"/>
      <name val="Arial Narrow"/>
      <family val="2"/>
      <charset val="238"/>
    </font>
    <font>
      <b/>
      <sz val="10"/>
      <color theme="0"/>
      <name val="Arial Narrow"/>
      <family val="2"/>
      <charset val="238"/>
    </font>
    <font>
      <b/>
      <sz val="10"/>
      <color theme="0" tint="-0.14999847407452621"/>
      <name val="Arial Narrow"/>
      <family val="2"/>
      <charset val="238"/>
    </font>
    <font>
      <b/>
      <i/>
      <sz val="10"/>
      <color theme="0" tint="-0.14999847407452621"/>
      <name val="Arial Narrow"/>
      <family val="2"/>
      <charset val="238"/>
    </font>
    <font>
      <b/>
      <sz val="10"/>
      <name val="Arial"/>
      <family val="2"/>
      <charset val="238"/>
    </font>
    <font>
      <sz val="10"/>
      <color theme="0" tint="-0.14999847407452621"/>
      <name val="Arial Narrow"/>
      <family val="2"/>
      <charset val="238"/>
    </font>
    <font>
      <sz val="11"/>
      <color theme="0" tint="-0.14999847407452621"/>
      <name val="Arial Narrow"/>
      <family val="2"/>
      <charset val="238"/>
    </font>
    <font>
      <b/>
      <sz val="11"/>
      <color theme="0" tint="-0.14999847407452621"/>
      <name val="Arial Narrow"/>
      <family val="2"/>
      <charset val="238"/>
    </font>
    <font>
      <sz val="10"/>
      <name val="Arial"/>
      <family val="2"/>
    </font>
  </fonts>
  <fills count="2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2" tint="-0.499984740745262"/>
        <bgColor indexed="64"/>
      </patternFill>
    </fill>
    <fill>
      <patternFill patternType="solid">
        <fgColor theme="3"/>
        <bgColor indexed="64"/>
      </patternFill>
    </fill>
    <fill>
      <patternFill patternType="solid">
        <fgColor theme="3" tint="0.39997558519241921"/>
        <bgColor indexed="64"/>
      </patternFill>
    </fill>
    <fill>
      <patternFill patternType="solid">
        <fgColor theme="8" tint="0.39997558519241921"/>
        <bgColor indexed="64"/>
      </patternFill>
    </fill>
    <fill>
      <patternFill patternType="solid">
        <fgColor theme="5"/>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theme="5" tint="0.39997558519241921"/>
        <bgColor indexed="64"/>
      </patternFill>
    </fill>
    <fill>
      <patternFill patternType="solid">
        <fgColor rgb="FFFFFF00"/>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1" tint="0.89999084444715716"/>
        <bgColor indexed="64"/>
      </patternFill>
    </fill>
    <fill>
      <patternFill patternType="solid">
        <fgColor rgb="FF00B0F0"/>
        <bgColor indexed="64"/>
      </patternFill>
    </fill>
    <fill>
      <patternFill patternType="solid">
        <fgColor theme="0" tint="-4.9989318521683403E-2"/>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medium">
        <color indexed="64"/>
      </top>
      <bottom style="medium">
        <color indexed="64"/>
      </bottom>
      <diagonal/>
    </border>
    <border>
      <left style="thin">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bottom/>
      <diagonal/>
    </border>
    <border>
      <left/>
      <right/>
      <top style="medium">
        <color indexed="64"/>
      </top>
      <bottom/>
      <diagonal/>
    </border>
    <border>
      <left/>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ck">
        <color theme="3"/>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style="thick">
        <color theme="3"/>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thick">
        <color theme="3"/>
      </left>
      <right/>
      <top/>
      <bottom style="thick">
        <color theme="3"/>
      </bottom>
      <diagonal/>
    </border>
    <border>
      <left/>
      <right/>
      <top/>
      <bottom style="thick">
        <color theme="3"/>
      </bottom>
      <diagonal/>
    </border>
    <border>
      <left/>
      <right style="thick">
        <color theme="3"/>
      </right>
      <top/>
      <bottom style="thick">
        <color theme="3"/>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s>
  <cellStyleXfs count="3">
    <xf numFmtId="0" fontId="0" fillId="0" borderId="0"/>
    <xf numFmtId="43" fontId="2" fillId="0" borderId="0" applyFont="0" applyFill="0" applyBorder="0" applyAlignment="0" applyProtection="0"/>
    <xf numFmtId="0" fontId="1" fillId="0" borderId="0"/>
  </cellStyleXfs>
  <cellXfs count="310">
    <xf numFmtId="0" fontId="0" fillId="0" borderId="0" xfId="0"/>
    <xf numFmtId="0" fontId="1" fillId="5" borderId="0" xfId="2" applyFill="1" applyAlignment="1">
      <alignment vertical="top" wrapText="1"/>
    </xf>
    <xf numFmtId="0" fontId="6" fillId="6" borderId="0" xfId="2" applyFont="1" applyFill="1" applyAlignment="1">
      <alignment vertical="top" wrapText="1"/>
    </xf>
    <xf numFmtId="0" fontId="1" fillId="6" borderId="0" xfId="2" applyFill="1" applyAlignment="1">
      <alignment vertical="top" wrapText="1"/>
    </xf>
    <xf numFmtId="0" fontId="1" fillId="7" borderId="0" xfId="2" applyFill="1" applyAlignment="1">
      <alignment vertical="top" wrapText="1"/>
    </xf>
    <xf numFmtId="0" fontId="1" fillId="8" borderId="0" xfId="2" applyFill="1" applyAlignment="1">
      <alignment vertical="top"/>
    </xf>
    <xf numFmtId="0" fontId="1" fillId="8" borderId="0" xfId="2" applyFill="1" applyAlignment="1">
      <alignment vertical="top" wrapText="1"/>
    </xf>
    <xf numFmtId="0" fontId="1" fillId="6" borderId="39" xfId="2" applyFill="1" applyBorder="1" applyAlignment="1">
      <alignment vertical="top" wrapText="1"/>
    </xf>
    <xf numFmtId="0" fontId="1" fillId="6" borderId="40" xfId="2" applyFill="1" applyBorder="1" applyAlignment="1">
      <alignment vertical="top" wrapText="1"/>
    </xf>
    <xf numFmtId="0" fontId="7" fillId="8" borderId="0" xfId="2" applyFont="1" applyFill="1" applyAlignment="1">
      <alignment vertical="top" wrapText="1"/>
    </xf>
    <xf numFmtId="0" fontId="1" fillId="9" borderId="0" xfId="2" applyFill="1" applyBorder="1" applyAlignment="1">
      <alignment vertical="top"/>
    </xf>
    <xf numFmtId="0" fontId="1" fillId="9" borderId="0" xfId="2" applyFill="1"/>
    <xf numFmtId="0" fontId="8" fillId="9" borderId="0" xfId="2" applyFont="1" applyFill="1"/>
    <xf numFmtId="0" fontId="9" fillId="9" borderId="0" xfId="2" applyFont="1" applyFill="1"/>
    <xf numFmtId="0" fontId="1" fillId="10" borderId="0" xfId="2" applyFill="1" applyAlignment="1">
      <alignment vertical="top" wrapText="1"/>
    </xf>
    <xf numFmtId="0" fontId="1" fillId="11" borderId="0" xfId="2" applyFill="1" applyAlignment="1">
      <alignment vertical="top" wrapText="1"/>
    </xf>
    <xf numFmtId="0" fontId="1" fillId="0" borderId="0" xfId="2" applyAlignment="1">
      <alignment vertical="top" wrapText="1"/>
    </xf>
    <xf numFmtId="0" fontId="1" fillId="0" borderId="0" xfId="2" applyFont="1" applyAlignment="1">
      <alignment vertical="top"/>
    </xf>
    <xf numFmtId="0" fontId="10" fillId="2" borderId="0" xfId="2" applyFont="1" applyFill="1" applyAlignment="1">
      <alignment vertical="center" wrapText="1"/>
    </xf>
    <xf numFmtId="0" fontId="10" fillId="2" borderId="0" xfId="2" applyFont="1" applyFill="1" applyBorder="1" applyAlignment="1">
      <alignment vertical="center" wrapText="1"/>
    </xf>
    <xf numFmtId="0" fontId="11" fillId="2" borderId="0" xfId="2" applyFont="1" applyFill="1" applyAlignment="1">
      <alignment vertical="center" wrapText="1"/>
    </xf>
    <xf numFmtId="0" fontId="11" fillId="12" borderId="0" xfId="2" applyFont="1" applyFill="1" applyAlignment="1">
      <alignment vertical="center" wrapText="1"/>
    </xf>
    <xf numFmtId="0" fontId="11" fillId="13" borderId="0" xfId="2" applyFont="1" applyFill="1" applyAlignment="1">
      <alignment vertical="center" wrapText="1"/>
    </xf>
    <xf numFmtId="0" fontId="6" fillId="12" borderId="41" xfId="2" applyFont="1" applyFill="1" applyBorder="1" applyAlignment="1">
      <alignment vertical="center" wrapText="1"/>
    </xf>
    <xf numFmtId="0" fontId="6" fillId="12" borderId="42" xfId="2" applyFont="1" applyFill="1" applyBorder="1" applyAlignment="1">
      <alignment vertical="center" wrapText="1"/>
    </xf>
    <xf numFmtId="0" fontId="10" fillId="2" borderId="39" xfId="2" applyFont="1" applyFill="1" applyBorder="1" applyAlignment="1">
      <alignment vertical="center" wrapText="1"/>
    </xf>
    <xf numFmtId="0" fontId="10" fillId="2" borderId="43" xfId="2" applyFont="1" applyFill="1" applyBorder="1" applyAlignment="1">
      <alignment vertical="center" wrapText="1"/>
    </xf>
    <xf numFmtId="0" fontId="10" fillId="2" borderId="40" xfId="2" applyFont="1" applyFill="1" applyBorder="1" applyAlignment="1">
      <alignment vertical="center" wrapText="1"/>
    </xf>
    <xf numFmtId="49" fontId="5" fillId="2" borderId="1" xfId="2" applyNumberFormat="1" applyFont="1" applyFill="1" applyBorder="1" applyAlignment="1">
      <alignment vertical="top" wrapText="1"/>
    </xf>
    <xf numFmtId="0" fontId="5" fillId="2" borderId="1" xfId="2" applyFont="1" applyFill="1" applyBorder="1" applyAlignment="1">
      <alignment vertical="top" wrapText="1"/>
    </xf>
    <xf numFmtId="0" fontId="5" fillId="2" borderId="1" xfId="2" applyFont="1" applyFill="1" applyBorder="1" applyAlignment="1">
      <alignment vertical="top" textRotation="90" wrapText="1"/>
    </xf>
    <xf numFmtId="0" fontId="12" fillId="2" borderId="1" xfId="2" applyFont="1" applyFill="1" applyBorder="1" applyAlignment="1">
      <alignment vertical="top" wrapText="1"/>
    </xf>
    <xf numFmtId="0" fontId="14" fillId="2" borderId="1" xfId="2" applyFont="1" applyFill="1" applyBorder="1" applyAlignment="1">
      <alignment vertical="top" textRotation="90" wrapText="1"/>
    </xf>
    <xf numFmtId="0" fontId="10" fillId="2" borderId="44" xfId="2" applyFont="1" applyFill="1" applyBorder="1" applyAlignment="1">
      <alignment vertical="center" wrapText="1"/>
    </xf>
    <xf numFmtId="0" fontId="10" fillId="2" borderId="45" xfId="2" applyFont="1" applyFill="1" applyBorder="1" applyAlignment="1">
      <alignment vertical="center" wrapText="1"/>
    </xf>
    <xf numFmtId="0" fontId="10" fillId="2" borderId="46" xfId="2" applyFont="1" applyFill="1" applyBorder="1" applyAlignment="1">
      <alignment vertical="center" wrapText="1"/>
    </xf>
    <xf numFmtId="0" fontId="1" fillId="5" borderId="0" xfId="2" applyFill="1" applyBorder="1" applyAlignment="1">
      <alignment vertical="top" wrapText="1"/>
    </xf>
    <xf numFmtId="0" fontId="1" fillId="5" borderId="0" xfId="2" applyFont="1" applyFill="1" applyAlignment="1">
      <alignment vertical="top" wrapText="1"/>
    </xf>
    <xf numFmtId="4" fontId="1" fillId="6" borderId="0" xfId="2" applyNumberFormat="1" applyFill="1" applyAlignment="1">
      <alignment vertical="top" wrapText="1"/>
    </xf>
    <xf numFmtId="4" fontId="1" fillId="14" borderId="0" xfId="2" applyNumberFormat="1" applyFill="1" applyAlignment="1">
      <alignment vertical="top" wrapText="1"/>
    </xf>
    <xf numFmtId="0" fontId="1" fillId="7" borderId="0" xfId="2" applyFill="1" applyBorder="1" applyAlignment="1">
      <alignment vertical="top" wrapText="1"/>
    </xf>
    <xf numFmtId="49" fontId="1" fillId="7" borderId="0" xfId="2" applyNumberFormat="1" applyFill="1" applyBorder="1" applyAlignment="1">
      <alignment vertical="top" wrapText="1"/>
    </xf>
    <xf numFmtId="0" fontId="1" fillId="8" borderId="41" xfId="2" applyFill="1" applyBorder="1" applyAlignment="1">
      <alignment vertical="top" wrapText="1"/>
    </xf>
    <xf numFmtId="0" fontId="1" fillId="8" borderId="0" xfId="2" applyFill="1" applyBorder="1" applyAlignment="1">
      <alignment vertical="top" wrapText="1"/>
    </xf>
    <xf numFmtId="0" fontId="1" fillId="8" borderId="42" xfId="2" applyFill="1" applyBorder="1" applyAlignment="1">
      <alignment vertical="top" wrapText="1"/>
    </xf>
    <xf numFmtId="49" fontId="5" fillId="0" borderId="1" xfId="2" applyNumberFormat="1" applyFont="1" applyBorder="1"/>
    <xf numFmtId="0" fontId="1" fillId="0" borderId="1" xfId="2" applyBorder="1"/>
    <xf numFmtId="0" fontId="8" fillId="0" borderId="1" xfId="2" applyFont="1" applyBorder="1"/>
    <xf numFmtId="0" fontId="1" fillId="15" borderId="1" xfId="2" applyFill="1" applyBorder="1"/>
    <xf numFmtId="49" fontId="1" fillId="16" borderId="1" xfId="2" applyNumberFormat="1" applyFill="1" applyBorder="1"/>
    <xf numFmtId="49" fontId="9" fillId="0" borderId="1" xfId="2" applyNumberFormat="1" applyFont="1" applyBorder="1"/>
    <xf numFmtId="0" fontId="1" fillId="0" borderId="47" xfId="2" applyFont="1" applyBorder="1" applyAlignment="1">
      <alignment vertical="top" wrapText="1"/>
    </xf>
    <xf numFmtId="0" fontId="1" fillId="0" borderId="0" xfId="2" applyFill="1" applyBorder="1" applyAlignment="1">
      <alignment vertical="top" wrapText="1"/>
    </xf>
    <xf numFmtId="0" fontId="1" fillId="0" borderId="48" xfId="2" applyFill="1" applyBorder="1" applyAlignment="1">
      <alignment vertical="top" wrapText="1"/>
    </xf>
    <xf numFmtId="0" fontId="1" fillId="17" borderId="1" xfId="2" applyFill="1" applyBorder="1"/>
    <xf numFmtId="0" fontId="1" fillId="0" borderId="0" xfId="2" applyBorder="1"/>
    <xf numFmtId="0" fontId="1" fillId="8" borderId="49" xfId="2" applyFill="1" applyBorder="1" applyAlignment="1">
      <alignment vertical="top" wrapText="1"/>
    </xf>
    <xf numFmtId="0" fontId="1" fillId="8" borderId="50" xfId="2" applyFill="1" applyBorder="1" applyAlignment="1">
      <alignment vertical="top" wrapText="1"/>
    </xf>
    <xf numFmtId="0" fontId="1" fillId="8" borderId="51" xfId="2" applyFill="1" applyBorder="1" applyAlignment="1">
      <alignment vertical="top" wrapText="1"/>
    </xf>
    <xf numFmtId="0" fontId="1" fillId="0" borderId="52" xfId="2" applyFont="1" applyBorder="1" applyAlignment="1">
      <alignment vertical="top" wrapText="1"/>
    </xf>
    <xf numFmtId="0" fontId="1" fillId="0" borderId="53" xfId="2" applyFill="1" applyBorder="1" applyAlignment="1">
      <alignment vertical="top" wrapText="1"/>
    </xf>
    <xf numFmtId="0" fontId="1" fillId="0" borderId="54" xfId="2" applyFill="1" applyBorder="1" applyAlignment="1">
      <alignment vertical="top" wrapText="1"/>
    </xf>
    <xf numFmtId="0" fontId="1" fillId="18" borderId="1" xfId="2" applyFill="1" applyBorder="1"/>
    <xf numFmtId="0" fontId="1" fillId="19" borderId="0" xfId="2" applyFont="1" applyFill="1" applyAlignment="1">
      <alignment vertical="top" wrapText="1"/>
    </xf>
    <xf numFmtId="0" fontId="1" fillId="19" borderId="0" xfId="2" applyFill="1" applyAlignment="1">
      <alignment vertical="top" wrapText="1"/>
    </xf>
    <xf numFmtId="0" fontId="6" fillId="12" borderId="0" xfId="2" applyFont="1" applyFill="1" applyBorder="1" applyAlignment="1">
      <alignment vertical="top" wrapText="1"/>
    </xf>
    <xf numFmtId="4" fontId="6" fillId="12" borderId="0" xfId="2" applyNumberFormat="1" applyFont="1" applyFill="1" applyBorder="1" applyAlignment="1">
      <alignment horizontal="right" vertical="top" wrapText="1"/>
    </xf>
    <xf numFmtId="0" fontId="1" fillId="14" borderId="1" xfId="2" applyFill="1" applyBorder="1"/>
    <xf numFmtId="0" fontId="15" fillId="20" borderId="0" xfId="2" applyFont="1" applyFill="1" applyBorder="1" applyAlignment="1">
      <alignment horizontal="left" wrapText="1"/>
    </xf>
    <xf numFmtId="4" fontId="15" fillId="20" borderId="0" xfId="2" applyNumberFormat="1" applyFont="1" applyFill="1" applyBorder="1" applyAlignment="1">
      <alignment horizontal="right" wrapText="1"/>
    </xf>
    <xf numFmtId="0" fontId="15" fillId="20" borderId="0" xfId="2" applyFont="1" applyFill="1" applyBorder="1" applyAlignment="1">
      <alignment horizontal="left"/>
    </xf>
    <xf numFmtId="4" fontId="15" fillId="20" borderId="0" xfId="2" applyNumberFormat="1" applyFont="1" applyFill="1" applyBorder="1" applyAlignment="1">
      <alignment horizontal="right"/>
    </xf>
    <xf numFmtId="0" fontId="1" fillId="0" borderId="0" xfId="2"/>
    <xf numFmtId="0" fontId="6" fillId="0" borderId="0" xfId="2" applyFont="1" applyAlignment="1">
      <alignment vertical="top" wrapText="1"/>
    </xf>
    <xf numFmtId="0" fontId="4" fillId="0" borderId="1" xfId="2" applyFont="1" applyBorder="1"/>
    <xf numFmtId="49" fontId="16" fillId="0" borderId="1" xfId="2" applyNumberFormat="1" applyFont="1" applyBorder="1"/>
    <xf numFmtId="0" fontId="4" fillId="15" borderId="1" xfId="2" applyFont="1" applyFill="1" applyBorder="1"/>
    <xf numFmtId="49" fontId="4" fillId="16" borderId="1" xfId="2" applyNumberFormat="1" applyFont="1" applyFill="1" applyBorder="1"/>
    <xf numFmtId="49" fontId="4" fillId="0" borderId="1" xfId="2" applyNumberFormat="1" applyFont="1" applyBorder="1"/>
    <xf numFmtId="0" fontId="4" fillId="17" borderId="1" xfId="2" applyFont="1" applyFill="1" applyBorder="1"/>
    <xf numFmtId="0" fontId="4" fillId="0" borderId="0" xfId="2" applyFont="1"/>
    <xf numFmtId="49" fontId="5" fillId="0" borderId="0" xfId="2" applyNumberFormat="1" applyFont="1"/>
    <xf numFmtId="0" fontId="8" fillId="0" borderId="0" xfId="2" applyFont="1"/>
    <xf numFmtId="0" fontId="1" fillId="15" borderId="0" xfId="2" applyFill="1"/>
    <xf numFmtId="0" fontId="1" fillId="16" borderId="0" xfId="2" applyFill="1"/>
    <xf numFmtId="0" fontId="9" fillId="0" borderId="0" xfId="2" applyFont="1"/>
    <xf numFmtId="0" fontId="1" fillId="14" borderId="0" xfId="2" applyFill="1" applyAlignment="1">
      <alignment vertical="top" wrapText="1"/>
    </xf>
    <xf numFmtId="0" fontId="15" fillId="8" borderId="4" xfId="2" applyFont="1" applyFill="1" applyBorder="1" applyAlignment="1">
      <alignment horizontal="left" vertical="top" wrapText="1"/>
    </xf>
    <xf numFmtId="0" fontId="15" fillId="8" borderId="1" xfId="2" applyFont="1" applyFill="1" applyBorder="1" applyAlignment="1">
      <alignment horizontal="left" vertical="top" wrapText="1"/>
    </xf>
    <xf numFmtId="0" fontId="15" fillId="8" borderId="2" xfId="2" applyFont="1" applyFill="1" applyBorder="1" applyAlignment="1">
      <alignment horizontal="left" vertical="top" wrapText="1"/>
    </xf>
    <xf numFmtId="0" fontId="15" fillId="8" borderId="41" xfId="2" applyFont="1" applyFill="1" applyBorder="1" applyAlignment="1">
      <alignment vertical="top" wrapText="1"/>
    </xf>
    <xf numFmtId="0" fontId="15" fillId="8" borderId="42" xfId="2" applyFont="1" applyFill="1" applyBorder="1" applyAlignment="1">
      <alignment vertical="top" wrapText="1"/>
    </xf>
    <xf numFmtId="0" fontId="18" fillId="0" borderId="0" xfId="0" applyFont="1" applyAlignment="1" applyProtection="1">
      <alignment vertical="center"/>
    </xf>
    <xf numFmtId="0" fontId="21" fillId="0" borderId="0" xfId="0" applyFont="1" applyFill="1" applyBorder="1" applyAlignment="1" applyProtection="1">
      <alignment horizontal="center" vertical="center" wrapText="1"/>
    </xf>
    <xf numFmtId="0" fontId="21" fillId="3" borderId="0" xfId="0" applyFont="1" applyFill="1" applyBorder="1" applyAlignment="1" applyProtection="1">
      <alignment horizontal="left" vertical="center"/>
    </xf>
    <xf numFmtId="0" fontId="18" fillId="0" borderId="0" xfId="0" applyFont="1" applyFill="1" applyBorder="1" applyAlignment="1" applyProtection="1">
      <alignment vertical="center"/>
    </xf>
    <xf numFmtId="0" fontId="23" fillId="0" borderId="0" xfId="0" applyFont="1" applyFill="1" applyAlignment="1" applyProtection="1">
      <alignment vertical="center"/>
    </xf>
    <xf numFmtId="0" fontId="18" fillId="0" borderId="0" xfId="0" applyFont="1" applyFill="1" applyAlignment="1" applyProtection="1">
      <alignment vertical="center"/>
    </xf>
    <xf numFmtId="0" fontId="21" fillId="2" borderId="5" xfId="0" applyFont="1" applyFill="1" applyBorder="1" applyAlignment="1" applyProtection="1">
      <alignment horizontal="center" vertical="center" wrapText="1"/>
    </xf>
    <xf numFmtId="0" fontId="21" fillId="2" borderId="28"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0" fontId="18" fillId="0" borderId="1" xfId="0" applyNumberFormat="1" applyFont="1" applyFill="1" applyBorder="1" applyAlignment="1" applyProtection="1">
      <alignment horizontal="left" vertical="center" wrapText="1"/>
      <protection locked="0"/>
    </xf>
    <xf numFmtId="2" fontId="18" fillId="0" borderId="10" xfId="0" applyNumberFormat="1" applyFont="1" applyFill="1" applyBorder="1" applyAlignment="1" applyProtection="1">
      <alignment horizontal="center" vertical="center" wrapText="1"/>
      <protection locked="0"/>
    </xf>
    <xf numFmtId="0" fontId="18" fillId="0" borderId="0" xfId="0" applyNumberFormat="1" applyFont="1" applyFill="1" applyBorder="1" applyAlignment="1" applyProtection="1">
      <alignment horizontal="left" vertical="center"/>
    </xf>
    <xf numFmtId="2" fontId="18" fillId="0" borderId="0" xfId="0" applyNumberFormat="1" applyFont="1" applyFill="1" applyBorder="1" applyAlignment="1" applyProtection="1">
      <alignment horizontal="center" vertical="center" wrapText="1"/>
    </xf>
    <xf numFmtId="0" fontId="18" fillId="0" borderId="0" xfId="0" applyFont="1" applyFill="1" applyBorder="1" applyAlignment="1" applyProtection="1">
      <alignment vertical="center" wrapText="1"/>
    </xf>
    <xf numFmtId="1" fontId="18" fillId="0" borderId="0" xfId="0" applyNumberFormat="1" applyFont="1" applyAlignment="1" applyProtection="1">
      <alignment vertical="center"/>
    </xf>
    <xf numFmtId="2" fontId="21" fillId="2" borderId="59" xfId="0" applyNumberFormat="1" applyFont="1" applyFill="1" applyBorder="1" applyAlignment="1" applyProtection="1">
      <alignment horizontal="center" vertical="center" wrapText="1"/>
    </xf>
    <xf numFmtId="4" fontId="21" fillId="0" borderId="0" xfId="0" applyNumberFormat="1" applyFont="1" applyBorder="1" applyAlignment="1" applyProtection="1">
      <alignment horizontal="center" vertical="center"/>
    </xf>
    <xf numFmtId="0" fontId="21" fillId="0" borderId="0" xfId="0" applyFont="1" applyAlignment="1" applyProtection="1">
      <alignment vertical="center"/>
    </xf>
    <xf numFmtId="165" fontId="18" fillId="0" borderId="0" xfId="0" applyNumberFormat="1" applyFont="1" applyFill="1" applyAlignment="1" applyProtection="1">
      <alignment vertical="center"/>
    </xf>
    <xf numFmtId="0" fontId="18" fillId="0" borderId="0" xfId="0" applyFont="1" applyBorder="1" applyAlignment="1" applyProtection="1">
      <alignment vertical="center"/>
    </xf>
    <xf numFmtId="0" fontId="21" fillId="0" borderId="0" xfId="0" applyFont="1" applyFill="1" applyBorder="1" applyAlignment="1" applyProtection="1">
      <alignment horizontal="left" vertical="center"/>
    </xf>
    <xf numFmtId="0" fontId="21" fillId="0" borderId="0" xfId="0" applyFont="1" applyBorder="1" applyAlignment="1" applyProtection="1">
      <alignment vertical="center"/>
    </xf>
    <xf numFmtId="0" fontId="20" fillId="0" borderId="0" xfId="0" applyFont="1" applyProtection="1"/>
    <xf numFmtId="0" fontId="18" fillId="3" borderId="18" xfId="0" applyFont="1" applyFill="1" applyBorder="1" applyAlignment="1" applyProtection="1">
      <alignment horizontal="center" vertical="center"/>
    </xf>
    <xf numFmtId="0" fontId="18" fillId="3" borderId="0" xfId="0" applyFont="1" applyFill="1" applyBorder="1" applyAlignment="1" applyProtection="1">
      <alignment horizontal="center" vertical="center"/>
    </xf>
    <xf numFmtId="2" fontId="21" fillId="2" borderId="35" xfId="0" applyNumberFormat="1" applyFont="1" applyFill="1" applyBorder="1" applyAlignment="1" applyProtection="1">
      <alignment horizontal="center" vertical="center" wrapText="1"/>
    </xf>
    <xf numFmtId="4" fontId="20" fillId="0" borderId="0" xfId="0" applyNumberFormat="1" applyFont="1" applyProtection="1"/>
    <xf numFmtId="0" fontId="28" fillId="0" borderId="0" xfId="0" applyFont="1" applyProtection="1"/>
    <xf numFmtId="0" fontId="29" fillId="0" borderId="0" xfId="0" applyFont="1" applyProtection="1"/>
    <xf numFmtId="0" fontId="21" fillId="0" borderId="1" xfId="0" applyFont="1" applyFill="1" applyBorder="1" applyAlignment="1" applyProtection="1">
      <alignment horizontal="center" vertical="center" wrapText="1"/>
      <protection locked="0"/>
    </xf>
    <xf numFmtId="0" fontId="37" fillId="0" borderId="1" xfId="0" applyNumberFormat="1" applyFont="1" applyFill="1" applyBorder="1" applyAlignment="1" applyProtection="1">
      <alignment horizontal="left" vertical="center" wrapText="1"/>
      <protection locked="0"/>
    </xf>
    <xf numFmtId="4" fontId="34" fillId="2" borderId="7" xfId="1" applyNumberFormat="1" applyFont="1" applyFill="1" applyBorder="1" applyAlignment="1" applyProtection="1">
      <alignment horizontal="center" vertical="center" wrapText="1"/>
      <protection locked="0"/>
    </xf>
    <xf numFmtId="0" fontId="35" fillId="2" borderId="8" xfId="0" applyFont="1" applyFill="1" applyBorder="1" applyAlignment="1" applyProtection="1">
      <alignment horizontal="center" vertical="center" wrapText="1"/>
      <protection locked="0"/>
    </xf>
    <xf numFmtId="0" fontId="21" fillId="2" borderId="7" xfId="0" applyFont="1" applyFill="1" applyBorder="1" applyAlignment="1" applyProtection="1">
      <alignment vertical="center" wrapText="1"/>
    </xf>
    <xf numFmtId="0" fontId="21" fillId="2" borderId="3" xfId="0" applyFont="1" applyFill="1" applyBorder="1" applyAlignment="1" applyProtection="1">
      <alignment vertical="center" wrapText="1"/>
    </xf>
    <xf numFmtId="0" fontId="21" fillId="2" borderId="8" xfId="0" applyFont="1" applyFill="1" applyBorder="1" applyAlignment="1" applyProtection="1">
      <alignment vertical="center" wrapText="1"/>
    </xf>
    <xf numFmtId="4" fontId="18" fillId="0" borderId="7" xfId="1" applyNumberFormat="1" applyFont="1" applyBorder="1" applyAlignment="1" applyProtection="1">
      <alignment horizontal="center" vertical="center" wrapText="1"/>
      <protection locked="0"/>
    </xf>
    <xf numFmtId="0" fontId="20" fillId="0" borderId="8" xfId="0" applyFont="1" applyBorder="1" applyAlignment="1" applyProtection="1">
      <alignment horizontal="center" vertical="center" wrapText="1"/>
      <protection locked="0"/>
    </xf>
    <xf numFmtId="0" fontId="33" fillId="0" borderId="11" xfId="0" applyFont="1" applyFill="1" applyBorder="1" applyAlignment="1" applyProtection="1">
      <alignment horizontal="center" vertical="center" textRotation="90" wrapText="1"/>
    </xf>
    <xf numFmtId="0" fontId="0" fillId="0" borderId="36" xfId="0" applyBorder="1" applyAlignment="1">
      <alignment horizontal="center" vertical="center" textRotation="90" wrapText="1"/>
    </xf>
    <xf numFmtId="0" fontId="0" fillId="0" borderId="37" xfId="0" applyBorder="1" applyAlignment="1">
      <alignment horizontal="center" vertical="center" textRotation="90" wrapText="1"/>
    </xf>
    <xf numFmtId="0" fontId="21" fillId="2" borderId="25" xfId="0" applyFont="1" applyFill="1" applyBorder="1" applyAlignment="1" applyProtection="1">
      <alignment horizontal="left" vertical="center" wrapText="1"/>
    </xf>
    <xf numFmtId="0" fontId="21" fillId="2" borderId="31" xfId="0" applyFont="1" applyFill="1" applyBorder="1" applyAlignment="1" applyProtection="1">
      <alignment horizontal="left" vertical="center" wrapText="1"/>
    </xf>
    <xf numFmtId="0" fontId="21" fillId="2" borderId="26" xfId="0" applyFont="1" applyFill="1" applyBorder="1" applyAlignment="1" applyProtection="1">
      <alignment horizontal="left" vertical="center" wrapText="1"/>
    </xf>
    <xf numFmtId="166" fontId="25" fillId="0" borderId="57" xfId="0" applyNumberFormat="1" applyFont="1" applyBorder="1" applyAlignment="1" applyProtection="1">
      <alignment horizontal="center" vertical="center"/>
    </xf>
    <xf numFmtId="0" fontId="32" fillId="2" borderId="7" xfId="0" applyNumberFormat="1" applyFont="1" applyFill="1" applyBorder="1" applyAlignment="1" applyProtection="1">
      <alignment horizontal="center" vertical="center"/>
    </xf>
    <xf numFmtId="0" fontId="32" fillId="2" borderId="8" xfId="0" applyNumberFormat="1" applyFont="1" applyFill="1" applyBorder="1" applyAlignment="1" applyProtection="1">
      <alignment horizontal="center" vertical="center"/>
    </xf>
    <xf numFmtId="0" fontId="21" fillId="0" borderId="38" xfId="0" applyFont="1" applyFill="1" applyBorder="1" applyAlignment="1" applyProtection="1">
      <alignment horizontal="center" vertical="center" wrapText="1"/>
    </xf>
    <xf numFmtId="0" fontId="21" fillId="0" borderId="36" xfId="0" applyFont="1" applyFill="1" applyBorder="1" applyAlignment="1" applyProtection="1">
      <alignment horizontal="center" vertical="center" wrapText="1"/>
    </xf>
    <xf numFmtId="0" fontId="20" fillId="0" borderId="36" xfId="0" applyFont="1" applyBorder="1" applyAlignment="1" applyProtection="1">
      <alignment horizontal="center" vertical="center" wrapText="1"/>
    </xf>
    <xf numFmtId="0" fontId="20" fillId="0" borderId="37" xfId="0" applyFont="1" applyBorder="1" applyAlignment="1" applyProtection="1">
      <alignment horizontal="center" vertical="center" wrapText="1"/>
    </xf>
    <xf numFmtId="0" fontId="18" fillId="0" borderId="24" xfId="0" applyFont="1" applyFill="1" applyBorder="1" applyAlignment="1" applyProtection="1">
      <alignment horizontal="center" vertical="center" wrapText="1"/>
    </xf>
    <xf numFmtId="0" fontId="18" fillId="0" borderId="35" xfId="0" applyFont="1" applyFill="1" applyBorder="1" applyAlignment="1" applyProtection="1">
      <alignment horizontal="center" vertical="center" wrapText="1"/>
    </xf>
    <xf numFmtId="0" fontId="20" fillId="0" borderId="0" xfId="0" applyFont="1" applyAlignment="1" applyProtection="1">
      <alignment horizontal="left" wrapText="1"/>
      <protection locked="0"/>
    </xf>
    <xf numFmtId="4" fontId="21" fillId="0" borderId="0" xfId="0" applyNumberFormat="1" applyFont="1" applyBorder="1" applyAlignment="1" applyProtection="1">
      <alignment horizontal="left" vertical="center" wrapText="1"/>
    </xf>
    <xf numFmtId="0" fontId="20" fillId="0" borderId="0" xfId="0" applyFont="1" applyAlignment="1" applyProtection="1">
      <alignment horizontal="left" vertical="center" wrapText="1"/>
    </xf>
    <xf numFmtId="0" fontId="21" fillId="2" borderId="19" xfId="0" applyFont="1" applyFill="1" applyBorder="1" applyAlignment="1" applyProtection="1">
      <alignment vertical="center"/>
    </xf>
    <xf numFmtId="0" fontId="21" fillId="2" borderId="22" xfId="0" applyFont="1" applyFill="1" applyBorder="1" applyAlignment="1" applyProtection="1">
      <alignment vertical="center"/>
    </xf>
    <xf numFmtId="0" fontId="21" fillId="2" borderId="60" xfId="0" applyFont="1" applyFill="1" applyBorder="1" applyAlignment="1" applyProtection="1">
      <alignment horizontal="center" vertical="center"/>
    </xf>
    <xf numFmtId="0" fontId="21" fillId="2" borderId="56" xfId="0" applyFont="1" applyFill="1" applyBorder="1" applyAlignment="1" applyProtection="1">
      <alignment vertical="center" wrapText="1"/>
    </xf>
    <xf numFmtId="0" fontId="21" fillId="2" borderId="57" xfId="0" applyFont="1" applyFill="1" applyBorder="1" applyAlignment="1" applyProtection="1">
      <alignment vertical="center" wrapText="1"/>
    </xf>
    <xf numFmtId="0" fontId="21" fillId="2" borderId="58" xfId="0" applyFont="1" applyFill="1" applyBorder="1" applyAlignment="1" applyProtection="1">
      <alignment vertical="center" wrapText="1"/>
    </xf>
    <xf numFmtId="4" fontId="21" fillId="0" borderId="12" xfId="1" applyNumberFormat="1" applyFont="1" applyBorder="1" applyAlignment="1" applyProtection="1">
      <alignment horizontal="center" vertical="center" wrapText="1"/>
    </xf>
    <xf numFmtId="0" fontId="22" fillId="0" borderId="13" xfId="0" applyFont="1" applyBorder="1" applyAlignment="1" applyProtection="1">
      <alignment horizontal="center" vertical="center" wrapText="1"/>
    </xf>
    <xf numFmtId="0" fontId="21" fillId="2" borderId="12"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18" fillId="0" borderId="0" xfId="0" applyFont="1" applyBorder="1" applyAlignment="1" applyProtection="1">
      <alignment horizontal="left" vertical="center" wrapText="1"/>
    </xf>
    <xf numFmtId="0" fontId="18" fillId="0" borderId="24" xfId="0" applyFont="1" applyFill="1" applyBorder="1" applyAlignment="1" applyProtection="1">
      <alignment horizontal="center" vertical="center" wrapText="1"/>
      <protection locked="0"/>
    </xf>
    <xf numFmtId="0" fontId="21" fillId="2" borderId="61" xfId="0" applyFont="1" applyFill="1" applyBorder="1" applyAlignment="1" applyProtection="1">
      <alignment horizontal="center" vertical="center"/>
    </xf>
    <xf numFmtId="0" fontId="20" fillId="0" borderId="60" xfId="0" applyFont="1" applyBorder="1" applyAlignment="1" applyProtection="1">
      <alignment horizontal="center" vertical="center"/>
    </xf>
    <xf numFmtId="4" fontId="31" fillId="2" borderId="12" xfId="1" applyNumberFormat="1" applyFont="1" applyFill="1" applyBorder="1" applyAlignment="1" applyProtection="1">
      <alignment horizontal="center" vertical="center" wrapText="1"/>
    </xf>
    <xf numFmtId="0" fontId="36" fillId="2" borderId="13" xfId="0" applyFont="1" applyFill="1" applyBorder="1" applyAlignment="1" applyProtection="1">
      <alignment horizontal="center" vertical="center" wrapText="1"/>
    </xf>
    <xf numFmtId="4" fontId="30" fillId="0" borderId="33" xfId="0" applyNumberFormat="1" applyFont="1" applyBorder="1" applyAlignment="1" applyProtection="1">
      <alignment horizontal="center" vertical="center"/>
    </xf>
    <xf numFmtId="4" fontId="18" fillId="2" borderId="7" xfId="1" applyNumberFormat="1" applyFont="1" applyFill="1" applyBorder="1" applyAlignment="1" applyProtection="1">
      <alignment horizontal="center" vertical="center" wrapText="1"/>
    </xf>
    <xf numFmtId="0" fontId="20" fillId="2" borderId="8" xfId="0" applyFont="1" applyFill="1" applyBorder="1" applyAlignment="1" applyProtection="1">
      <alignment horizontal="center" vertical="center" wrapText="1"/>
    </xf>
    <xf numFmtId="2" fontId="34" fillId="2" borderId="25" xfId="0" applyNumberFormat="1" applyFont="1" applyFill="1" applyBorder="1" applyAlignment="1" applyProtection="1">
      <alignment horizontal="center" vertical="center"/>
      <protection locked="0"/>
    </xf>
    <xf numFmtId="2" fontId="35" fillId="2" borderId="26" xfId="0" applyNumberFormat="1" applyFont="1" applyFill="1" applyBorder="1" applyAlignment="1" applyProtection="1">
      <alignment horizontal="center" vertical="center"/>
      <protection locked="0"/>
    </xf>
    <xf numFmtId="0" fontId="18" fillId="0" borderId="2" xfId="0" applyNumberFormat="1" applyFont="1" applyFill="1" applyBorder="1" applyAlignment="1" applyProtection="1">
      <alignment horizontal="left" vertical="center" wrapText="1"/>
      <protection locked="0"/>
    </xf>
    <xf numFmtId="0" fontId="18" fillId="0" borderId="3" xfId="0" applyNumberFormat="1" applyFont="1" applyFill="1" applyBorder="1" applyAlignment="1" applyProtection="1">
      <alignment horizontal="left" vertical="center" wrapText="1"/>
      <protection locked="0"/>
    </xf>
    <xf numFmtId="0" fontId="18" fillId="0" borderId="4" xfId="0" applyNumberFormat="1" applyFont="1" applyFill="1" applyBorder="1" applyAlignment="1" applyProtection="1">
      <alignment horizontal="left" vertical="center" wrapText="1"/>
      <protection locked="0"/>
    </xf>
    <xf numFmtId="0" fontId="18" fillId="0" borderId="28" xfId="0" applyFont="1" applyFill="1" applyBorder="1" applyAlignment="1" applyProtection="1">
      <alignment horizontal="center" vertical="center" wrapText="1"/>
    </xf>
    <xf numFmtId="0" fontId="18" fillId="0" borderId="6" xfId="0" applyFont="1" applyFill="1" applyBorder="1" applyAlignment="1" applyProtection="1">
      <alignment horizontal="center" vertical="center" wrapText="1"/>
    </xf>
    <xf numFmtId="0" fontId="20" fillId="0" borderId="28" xfId="0" applyFont="1" applyBorder="1" applyAlignment="1" applyProtection="1">
      <alignment horizontal="center" vertical="center" wrapText="1"/>
    </xf>
    <xf numFmtId="0" fontId="21" fillId="2" borderId="19" xfId="0" applyFont="1" applyFill="1" applyBorder="1" applyAlignment="1" applyProtection="1">
      <alignment horizontal="center" vertical="top" wrapText="1"/>
    </xf>
    <xf numFmtId="0" fontId="21" fillId="2" borderId="30" xfId="0" applyFont="1" applyFill="1" applyBorder="1" applyAlignment="1" applyProtection="1">
      <alignment horizontal="center" vertical="top" wrapText="1"/>
    </xf>
    <xf numFmtId="0" fontId="18" fillId="3" borderId="29" xfId="0" applyFont="1" applyFill="1" applyBorder="1" applyAlignment="1" applyProtection="1">
      <alignment horizontal="center" vertical="center" wrapText="1"/>
      <protection locked="0"/>
    </xf>
    <xf numFmtId="0" fontId="18" fillId="3" borderId="31" xfId="0" applyFont="1" applyFill="1" applyBorder="1" applyAlignment="1" applyProtection="1">
      <alignment horizontal="center" vertical="center" wrapText="1"/>
      <protection locked="0"/>
    </xf>
    <xf numFmtId="0" fontId="18" fillId="3" borderId="26" xfId="0" applyFont="1" applyFill="1" applyBorder="1" applyAlignment="1" applyProtection="1">
      <alignment horizontal="center" vertical="center" wrapText="1"/>
      <protection locked="0"/>
    </xf>
    <xf numFmtId="0" fontId="21" fillId="2" borderId="21" xfId="0" applyFont="1" applyFill="1" applyBorder="1" applyAlignment="1" applyProtection="1">
      <alignment horizontal="center" vertical="top" wrapText="1"/>
    </xf>
    <xf numFmtId="0" fontId="21" fillId="2" borderId="20" xfId="0" applyFont="1" applyFill="1" applyBorder="1" applyAlignment="1" applyProtection="1">
      <alignment horizontal="center" vertical="top" wrapText="1"/>
    </xf>
    <xf numFmtId="0" fontId="20" fillId="0" borderId="31" xfId="0" applyFont="1" applyBorder="1" applyAlignment="1" applyProtection="1">
      <alignment horizontal="center" vertical="center" wrapText="1"/>
    </xf>
    <xf numFmtId="0" fontId="20" fillId="0" borderId="26" xfId="0" applyFont="1" applyBorder="1" applyAlignment="1" applyProtection="1">
      <alignment horizontal="center" vertical="center" wrapText="1"/>
    </xf>
    <xf numFmtId="4" fontId="34" fillId="2" borderId="7" xfId="1" applyNumberFormat="1" applyFont="1" applyFill="1" applyBorder="1" applyAlignment="1" applyProtection="1">
      <alignment horizontal="center" vertical="center" wrapText="1"/>
    </xf>
    <xf numFmtId="0" fontId="35" fillId="2" borderId="8" xfId="0" applyFont="1" applyFill="1" applyBorder="1" applyAlignment="1" applyProtection="1">
      <alignment horizontal="center" vertical="center" wrapText="1"/>
    </xf>
    <xf numFmtId="4" fontId="18" fillId="21" borderId="7" xfId="1" applyNumberFormat="1" applyFont="1" applyFill="1" applyBorder="1" applyAlignment="1" applyProtection="1">
      <alignment horizontal="center" vertical="center" wrapText="1"/>
    </xf>
    <xf numFmtId="0" fontId="20" fillId="21" borderId="8" xfId="0" applyFont="1" applyFill="1" applyBorder="1" applyAlignment="1" applyProtection="1">
      <alignment horizontal="center" vertical="center" wrapText="1"/>
    </xf>
    <xf numFmtId="0" fontId="37" fillId="0" borderId="2" xfId="0" applyNumberFormat="1" applyFont="1" applyFill="1" applyBorder="1" applyAlignment="1" applyProtection="1">
      <alignment horizontal="left" vertical="center" wrapText="1"/>
      <protection locked="0"/>
    </xf>
    <xf numFmtId="0" fontId="37" fillId="0" borderId="3" xfId="0" applyNumberFormat="1" applyFont="1" applyFill="1" applyBorder="1" applyAlignment="1" applyProtection="1">
      <alignment horizontal="left" vertical="center" wrapText="1"/>
      <protection locked="0"/>
    </xf>
    <xf numFmtId="0" fontId="37" fillId="0" borderId="4" xfId="0" applyNumberFormat="1" applyFont="1" applyFill="1" applyBorder="1" applyAlignment="1" applyProtection="1">
      <alignment horizontal="left" vertical="center" wrapText="1"/>
      <protection locked="0"/>
    </xf>
    <xf numFmtId="0" fontId="20" fillId="0" borderId="24" xfId="0" applyFont="1" applyBorder="1" applyAlignment="1" applyProtection="1">
      <alignment horizontal="center" vertical="center" wrapText="1"/>
      <protection locked="0"/>
    </xf>
    <xf numFmtId="0" fontId="18" fillId="0" borderId="5" xfId="0" applyFont="1" applyFill="1" applyBorder="1" applyAlignment="1" applyProtection="1">
      <alignment horizontal="center" vertical="center" wrapText="1"/>
      <protection locked="0"/>
    </xf>
    <xf numFmtId="0" fontId="20" fillId="0" borderId="28" xfId="0" applyFont="1" applyBorder="1" applyAlignment="1" applyProtection="1">
      <alignment horizontal="center" vertical="center" wrapText="1"/>
      <protection locked="0"/>
    </xf>
    <xf numFmtId="0" fontId="18" fillId="0" borderId="23" xfId="0" applyFont="1" applyFill="1" applyBorder="1" applyAlignment="1" applyProtection="1">
      <alignment horizontal="center" vertical="center" wrapText="1"/>
      <protection locked="0"/>
    </xf>
    <xf numFmtId="0" fontId="21" fillId="2" borderId="23" xfId="0" applyFont="1" applyFill="1" applyBorder="1" applyAlignment="1" applyProtection="1">
      <alignment horizontal="left" vertical="center" wrapText="1"/>
    </xf>
    <xf numFmtId="0" fontId="21" fillId="2" borderId="24" xfId="0" applyFont="1" applyFill="1" applyBorder="1" applyAlignment="1" applyProtection="1">
      <alignment horizontal="left" vertical="center" wrapText="1"/>
    </xf>
    <xf numFmtId="2" fontId="18" fillId="3" borderId="25" xfId="0" applyNumberFormat="1" applyFont="1" applyFill="1" applyBorder="1" applyAlignment="1" applyProtection="1">
      <alignment horizontal="center" vertical="center"/>
      <protection locked="0"/>
    </xf>
    <xf numFmtId="2" fontId="20" fillId="0" borderId="26" xfId="0" applyNumberFormat="1" applyFont="1" applyBorder="1" applyAlignment="1" applyProtection="1">
      <alignment horizontal="center" vertical="center"/>
      <protection locked="0"/>
    </xf>
    <xf numFmtId="164" fontId="21" fillId="2" borderId="5" xfId="0" applyNumberFormat="1" applyFont="1" applyFill="1" applyBorder="1" applyAlignment="1" applyProtection="1">
      <alignment horizontal="center" vertical="center"/>
    </xf>
    <xf numFmtId="164" fontId="21" fillId="2" borderId="6" xfId="0" applyNumberFormat="1" applyFont="1" applyFill="1" applyBorder="1" applyAlignment="1" applyProtection="1">
      <alignment horizontal="center" vertical="center"/>
    </xf>
    <xf numFmtId="164" fontId="31" fillId="2" borderId="5" xfId="0" applyNumberFormat="1" applyFont="1" applyFill="1" applyBorder="1" applyAlignment="1" applyProtection="1">
      <alignment horizontal="center" vertical="center"/>
    </xf>
    <xf numFmtId="164" fontId="31" fillId="2" borderId="6" xfId="0" applyNumberFormat="1" applyFont="1" applyFill="1" applyBorder="1" applyAlignment="1" applyProtection="1">
      <alignment horizontal="center" vertical="center"/>
    </xf>
    <xf numFmtId="0" fontId="21" fillId="2" borderId="12" xfId="0" applyFont="1" applyFill="1" applyBorder="1" applyAlignment="1" applyProtection="1">
      <alignment horizontal="left" vertical="center" wrapText="1"/>
    </xf>
    <xf numFmtId="0" fontId="21" fillId="2" borderId="17" xfId="0" applyFont="1" applyFill="1" applyBorder="1" applyAlignment="1" applyProtection="1">
      <alignment horizontal="left" vertical="center" wrapText="1"/>
    </xf>
    <xf numFmtId="0" fontId="21" fillId="2" borderId="13" xfId="0" applyFont="1" applyFill="1" applyBorder="1" applyAlignment="1" applyProtection="1">
      <alignment horizontal="left" vertical="center" wrapText="1"/>
    </xf>
    <xf numFmtId="0" fontId="21" fillId="2" borderId="29" xfId="0" applyFont="1" applyFill="1" applyBorder="1" applyAlignment="1" applyProtection="1">
      <alignment vertical="center"/>
    </xf>
    <xf numFmtId="0" fontId="21" fillId="2" borderId="27" xfId="0" applyFont="1" applyFill="1" applyBorder="1" applyAlignment="1" applyProtection="1">
      <alignment vertical="center"/>
    </xf>
    <xf numFmtId="0" fontId="21" fillId="2" borderId="38" xfId="0" applyFont="1" applyFill="1" applyBorder="1" applyAlignment="1" applyProtection="1">
      <alignment horizontal="center" vertical="center"/>
    </xf>
    <xf numFmtId="0" fontId="21" fillId="2" borderId="21" xfId="0" applyFont="1" applyFill="1" applyBorder="1" applyAlignment="1" applyProtection="1">
      <alignment horizontal="center" vertical="center" wrapText="1"/>
    </xf>
    <xf numFmtId="0" fontId="21" fillId="2" borderId="30" xfId="0" applyFont="1" applyFill="1" applyBorder="1" applyAlignment="1" applyProtection="1">
      <alignment horizontal="center" vertical="center" wrapText="1"/>
    </xf>
    <xf numFmtId="0" fontId="21" fillId="2" borderId="20" xfId="0" applyFont="1" applyFill="1" applyBorder="1" applyAlignment="1" applyProtection="1">
      <alignment horizontal="center" vertical="center" wrapText="1"/>
    </xf>
    <xf numFmtId="0" fontId="21" fillId="2" borderId="29" xfId="0" applyFont="1" applyFill="1" applyBorder="1" applyAlignment="1" applyProtection="1">
      <alignment vertical="center" wrapText="1"/>
    </xf>
    <xf numFmtId="0" fontId="21" fillId="2" borderId="31" xfId="0" applyFont="1" applyFill="1" applyBorder="1" applyAlignment="1" applyProtection="1">
      <alignment vertical="center" wrapText="1"/>
    </xf>
    <xf numFmtId="0" fontId="21" fillId="2" borderId="27" xfId="0" applyFont="1" applyFill="1" applyBorder="1" applyAlignment="1" applyProtection="1">
      <alignment vertical="center" wrapText="1"/>
    </xf>
    <xf numFmtId="0" fontId="20" fillId="0" borderId="8" xfId="0" applyFont="1" applyBorder="1" applyAlignment="1" applyProtection="1">
      <alignment vertical="center" wrapText="1"/>
    </xf>
    <xf numFmtId="0" fontId="26" fillId="2" borderId="14" xfId="0" applyFont="1" applyFill="1" applyBorder="1" applyAlignment="1" applyProtection="1">
      <alignment horizontal="right" vertical="center" wrapText="1"/>
    </xf>
    <xf numFmtId="0" fontId="26" fillId="2" borderId="33" xfId="0" applyFont="1" applyFill="1" applyBorder="1" applyAlignment="1" applyProtection="1">
      <alignment horizontal="right" vertical="center" wrapText="1"/>
    </xf>
    <xf numFmtId="0" fontId="26" fillId="2" borderId="15" xfId="0" applyFont="1" applyFill="1" applyBorder="1" applyAlignment="1" applyProtection="1">
      <alignment horizontal="right" vertical="center" wrapText="1"/>
    </xf>
    <xf numFmtId="0" fontId="26" fillId="2" borderId="16" xfId="0" applyFont="1" applyFill="1" applyBorder="1" applyAlignment="1" applyProtection="1">
      <alignment horizontal="right" vertical="center" wrapText="1"/>
    </xf>
    <xf numFmtId="0" fontId="26" fillId="2" borderId="34" xfId="0" applyFont="1" applyFill="1" applyBorder="1" applyAlignment="1" applyProtection="1">
      <alignment horizontal="right" vertical="center" wrapText="1"/>
    </xf>
    <xf numFmtId="0" fontId="26" fillId="2" borderId="55" xfId="0" applyFont="1" applyFill="1" applyBorder="1" applyAlignment="1" applyProtection="1">
      <alignment horizontal="right" vertical="center" wrapText="1"/>
    </xf>
    <xf numFmtId="0" fontId="27" fillId="2" borderId="7" xfId="0" applyNumberFormat="1" applyFont="1" applyFill="1" applyBorder="1" applyAlignment="1" applyProtection="1">
      <alignment horizontal="center" vertical="center"/>
    </xf>
    <xf numFmtId="0" fontId="27" fillId="2" borderId="8" xfId="0" applyNumberFormat="1" applyFont="1" applyFill="1" applyBorder="1" applyAlignment="1" applyProtection="1">
      <alignment horizontal="center" vertical="center"/>
    </xf>
    <xf numFmtId="0" fontId="21" fillId="2" borderId="5" xfId="0" applyNumberFormat="1" applyFont="1" applyFill="1" applyBorder="1" applyAlignment="1" applyProtection="1">
      <alignment horizontal="center" vertical="center"/>
    </xf>
    <xf numFmtId="0" fontId="21" fillId="2" borderId="6" xfId="0" applyNumberFormat="1" applyFont="1" applyFill="1" applyBorder="1" applyAlignment="1" applyProtection="1">
      <alignment horizontal="center" vertical="center"/>
    </xf>
    <xf numFmtId="0" fontId="26" fillId="2" borderId="7" xfId="0" applyFont="1" applyFill="1" applyBorder="1" applyAlignment="1" applyProtection="1">
      <alignment horizontal="right" vertical="center" wrapText="1"/>
    </xf>
    <xf numFmtId="0" fontId="26" fillId="2" borderId="3" xfId="0" applyFont="1" applyFill="1" applyBorder="1" applyAlignment="1" applyProtection="1">
      <alignment horizontal="right" vertical="center" wrapText="1"/>
    </xf>
    <xf numFmtId="0" fontId="26" fillId="2" borderId="8" xfId="0" applyFont="1" applyFill="1" applyBorder="1" applyAlignment="1" applyProtection="1">
      <alignment horizontal="right" vertical="center" wrapText="1"/>
    </xf>
    <xf numFmtId="167" fontId="27" fillId="2" borderId="7" xfId="0" applyNumberFormat="1" applyFont="1" applyFill="1" applyBorder="1" applyAlignment="1" applyProtection="1">
      <alignment horizontal="center" vertical="center"/>
    </xf>
    <xf numFmtId="167" fontId="27" fillId="2" borderId="8" xfId="0" applyNumberFormat="1" applyFont="1" applyFill="1" applyBorder="1" applyAlignment="1" applyProtection="1">
      <alignment horizontal="center" vertical="center"/>
    </xf>
    <xf numFmtId="167" fontId="32" fillId="2" borderId="7" xfId="0" applyNumberFormat="1" applyFont="1" applyFill="1" applyBorder="1" applyAlignment="1" applyProtection="1">
      <alignment horizontal="center" vertical="center"/>
    </xf>
    <xf numFmtId="167" fontId="32" fillId="2" borderId="8" xfId="0" applyNumberFormat="1" applyFont="1" applyFill="1" applyBorder="1" applyAlignment="1" applyProtection="1">
      <alignment horizontal="center" vertical="center"/>
    </xf>
    <xf numFmtId="2" fontId="34" fillId="2" borderId="2" xfId="0" applyNumberFormat="1" applyFont="1" applyFill="1" applyBorder="1" applyAlignment="1" applyProtection="1">
      <alignment horizontal="center" vertical="center" wrapText="1"/>
      <protection locked="0"/>
    </xf>
    <xf numFmtId="2" fontId="35" fillId="2" borderId="8" xfId="0" applyNumberFormat="1" applyFont="1" applyFill="1" applyBorder="1" applyAlignment="1" applyProtection="1">
      <alignment horizontal="center" vertical="center" wrapText="1"/>
      <protection locked="0"/>
    </xf>
    <xf numFmtId="2" fontId="35" fillId="2" borderId="27" xfId="0" applyNumberFormat="1" applyFont="1" applyFill="1" applyBorder="1" applyAlignment="1" applyProtection="1">
      <alignment horizontal="center" vertical="center"/>
      <protection locked="0"/>
    </xf>
    <xf numFmtId="0" fontId="21" fillId="3" borderId="18" xfId="0" applyFont="1" applyFill="1" applyBorder="1" applyAlignment="1" applyProtection="1">
      <alignment horizontal="left" vertical="center" wrapText="1"/>
    </xf>
    <xf numFmtId="0" fontId="21" fillId="3" borderId="0" xfId="0" applyFont="1" applyFill="1" applyBorder="1" applyAlignment="1" applyProtection="1">
      <alignment horizontal="left" vertical="center" wrapText="1"/>
    </xf>
    <xf numFmtId="0" fontId="20" fillId="3" borderId="32" xfId="0" applyFont="1" applyFill="1" applyBorder="1" applyAlignment="1" applyProtection="1">
      <alignment horizontal="left" vertical="center" wrapText="1"/>
    </xf>
    <xf numFmtId="0" fontId="21" fillId="3" borderId="0" xfId="0" applyFont="1" applyFill="1" applyBorder="1" applyAlignment="1" applyProtection="1">
      <alignment horizontal="center" vertical="center"/>
    </xf>
    <xf numFmtId="0" fontId="22" fillId="3" borderId="0" xfId="0" applyFont="1" applyFill="1" applyBorder="1" applyAlignment="1" applyProtection="1">
      <alignment horizontal="center" vertical="center"/>
    </xf>
    <xf numFmtId="0" fontId="21" fillId="2" borderId="9"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0" fontId="21" fillId="2" borderId="1" xfId="0" applyFont="1" applyFill="1" applyBorder="1" applyAlignment="1" applyProtection="1">
      <alignment horizontal="left" vertical="center" wrapText="1"/>
    </xf>
    <xf numFmtId="2" fontId="18" fillId="3" borderId="2" xfId="0" applyNumberFormat="1" applyFont="1" applyFill="1" applyBorder="1" applyAlignment="1" applyProtection="1">
      <alignment horizontal="center" vertical="center"/>
      <protection locked="0"/>
    </xf>
    <xf numFmtId="2" fontId="20" fillId="0" borderId="4" xfId="0" applyNumberFormat="1" applyFont="1" applyBorder="1" applyAlignment="1" applyProtection="1">
      <alignment horizontal="center" vertical="center"/>
      <protection locked="0"/>
    </xf>
    <xf numFmtId="2" fontId="34" fillId="2" borderId="2" xfId="0" applyNumberFormat="1" applyFont="1" applyFill="1" applyBorder="1" applyAlignment="1" applyProtection="1">
      <alignment horizontal="center" vertical="center"/>
      <protection locked="0"/>
    </xf>
    <xf numFmtId="2" fontId="35" fillId="2" borderId="4" xfId="0" applyNumberFormat="1" applyFont="1" applyFill="1" applyBorder="1" applyAlignment="1" applyProtection="1">
      <alignment horizontal="center" vertical="center"/>
      <protection locked="0"/>
    </xf>
    <xf numFmtId="2" fontId="35" fillId="2" borderId="8" xfId="0" applyNumberFormat="1" applyFont="1" applyFill="1" applyBorder="1" applyAlignment="1" applyProtection="1">
      <alignment horizontal="center" vertical="center"/>
      <protection locked="0"/>
    </xf>
    <xf numFmtId="0" fontId="21" fillId="2" borderId="19" xfId="0" applyFont="1" applyFill="1" applyBorder="1" applyAlignment="1" applyProtection="1">
      <alignment horizontal="left" vertical="center" wrapText="1"/>
    </xf>
    <xf numFmtId="0" fontId="21" fillId="2" borderId="30" xfId="0" applyFont="1" applyFill="1" applyBorder="1" applyAlignment="1" applyProtection="1">
      <alignment horizontal="left" vertical="center" wrapText="1"/>
    </xf>
    <xf numFmtId="0" fontId="20" fillId="0" borderId="30" xfId="0" applyFont="1" applyBorder="1" applyAlignment="1" applyProtection="1">
      <alignment horizontal="left" vertical="center" wrapText="1"/>
    </xf>
    <xf numFmtId="0" fontId="21" fillId="2" borderId="28" xfId="0" applyNumberFormat="1" applyFont="1" applyFill="1" applyBorder="1" applyAlignment="1" applyProtection="1">
      <alignment horizontal="center" vertical="center"/>
    </xf>
    <xf numFmtId="0" fontId="21" fillId="2" borderId="30" xfId="0" applyFont="1" applyFill="1" applyBorder="1" applyAlignment="1" applyProtection="1">
      <alignment horizontal="center" vertical="center"/>
    </xf>
    <xf numFmtId="0" fontId="22" fillId="2" borderId="20" xfId="0" applyFont="1" applyFill="1" applyBorder="1" applyAlignment="1" applyProtection="1">
      <alignment horizontal="center" vertical="center"/>
    </xf>
    <xf numFmtId="0" fontId="31" fillId="2" borderId="30" xfId="0" applyFont="1" applyFill="1" applyBorder="1" applyAlignment="1" applyProtection="1">
      <alignment horizontal="center" vertical="center"/>
    </xf>
    <xf numFmtId="0" fontId="36" fillId="2" borderId="20" xfId="0" applyFont="1" applyFill="1" applyBorder="1" applyAlignment="1" applyProtection="1">
      <alignment horizontal="center" vertical="center"/>
    </xf>
    <xf numFmtId="0" fontId="36" fillId="2" borderId="22" xfId="0" applyFont="1" applyFill="1" applyBorder="1" applyAlignment="1" applyProtection="1">
      <alignment horizontal="center" vertical="center"/>
    </xf>
    <xf numFmtId="0" fontId="21" fillId="2" borderId="21" xfId="0" applyNumberFormat="1" applyFont="1" applyFill="1" applyBorder="1" applyAlignment="1" applyProtection="1">
      <alignment horizontal="center" vertical="center"/>
    </xf>
    <xf numFmtId="0" fontId="21" fillId="2" borderId="20" xfId="0" applyNumberFormat="1" applyFont="1" applyFill="1" applyBorder="1" applyAlignment="1" applyProtection="1">
      <alignment horizontal="center" vertical="center"/>
    </xf>
    <xf numFmtId="0" fontId="21" fillId="2" borderId="7"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0" fillId="0" borderId="4" xfId="0" applyFont="1" applyBorder="1" applyAlignment="1" applyProtection="1">
      <alignment horizontal="left" vertical="center" wrapText="1"/>
    </xf>
    <xf numFmtId="0" fontId="19" fillId="0" borderId="0" xfId="0" applyFont="1" applyAlignment="1" applyProtection="1">
      <alignment horizontal="center" vertical="center"/>
    </xf>
    <xf numFmtId="0" fontId="21" fillId="2" borderId="22" xfId="0" applyFont="1" applyFill="1" applyBorder="1" applyAlignment="1" applyProtection="1">
      <alignment horizontal="center" vertical="top" wrapText="1"/>
    </xf>
    <xf numFmtId="0" fontId="20" fillId="0" borderId="25" xfId="0" applyFont="1" applyBorder="1" applyAlignment="1" applyProtection="1">
      <alignment horizontal="center" vertical="center" wrapText="1"/>
    </xf>
    <xf numFmtId="0" fontId="20" fillId="0" borderId="27" xfId="0" applyFont="1" applyBorder="1" applyAlignment="1" applyProtection="1">
      <alignment horizontal="center" vertical="center" wrapText="1"/>
    </xf>
    <xf numFmtId="0" fontId="21" fillId="0" borderId="0" xfId="0" applyFont="1" applyFill="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21" fillId="2" borderId="5" xfId="0" applyFont="1" applyFill="1" applyBorder="1" applyAlignment="1" applyProtection="1">
      <alignment horizontal="left" vertical="center" wrapText="1"/>
    </xf>
    <xf numFmtId="0" fontId="21" fillId="2" borderId="20" xfId="0" applyFont="1" applyFill="1" applyBorder="1" applyAlignment="1" applyProtection="1">
      <alignment horizontal="left" vertical="center" wrapText="1"/>
    </xf>
    <xf numFmtId="0" fontId="21" fillId="2" borderId="28" xfId="0" applyFont="1" applyFill="1" applyBorder="1" applyAlignment="1" applyProtection="1">
      <alignment horizontal="left" vertical="center" wrapText="1"/>
    </xf>
    <xf numFmtId="0" fontId="18" fillId="0" borderId="21" xfId="0" applyFont="1" applyFill="1" applyBorder="1" applyAlignment="1" applyProtection="1">
      <alignment horizontal="center" vertical="center" wrapText="1"/>
      <protection locked="0"/>
    </xf>
    <xf numFmtId="0" fontId="18" fillId="0" borderId="30" xfId="0" applyFont="1" applyFill="1" applyBorder="1" applyAlignment="1" applyProtection="1">
      <alignment horizontal="center" vertical="center" wrapText="1"/>
      <protection locked="0"/>
    </xf>
    <xf numFmtId="0" fontId="20" fillId="0" borderId="20" xfId="0" applyFont="1" applyBorder="1" applyAlignment="1" applyProtection="1">
      <alignment vertical="center" wrapText="1"/>
      <protection locked="0"/>
    </xf>
    <xf numFmtId="0" fontId="20" fillId="0" borderId="28" xfId="0" applyFont="1" applyBorder="1" applyAlignment="1" applyProtection="1">
      <alignment vertical="center" wrapText="1"/>
    </xf>
    <xf numFmtId="0" fontId="18" fillId="0" borderId="21" xfId="0" applyFont="1" applyFill="1" applyBorder="1" applyAlignment="1" applyProtection="1">
      <alignment horizontal="center" vertical="center" wrapText="1"/>
    </xf>
    <xf numFmtId="0" fontId="18" fillId="0" borderId="30" xfId="0" applyFont="1" applyFill="1" applyBorder="1" applyAlignment="1" applyProtection="1">
      <alignment horizontal="center" vertical="center" wrapText="1"/>
    </xf>
    <xf numFmtId="0" fontId="18" fillId="0" borderId="22" xfId="0" applyFont="1" applyFill="1" applyBorder="1" applyAlignment="1" applyProtection="1">
      <alignment horizontal="center" vertical="center" wrapText="1"/>
    </xf>
    <xf numFmtId="0" fontId="21" fillId="4" borderId="14" xfId="0" applyFont="1" applyFill="1" applyBorder="1" applyAlignment="1" applyProtection="1">
      <alignment horizontal="center" vertical="center"/>
    </xf>
    <xf numFmtId="0" fontId="21" fillId="4" borderId="33" xfId="0" applyFont="1" applyFill="1" applyBorder="1" applyAlignment="1" applyProtection="1">
      <alignment horizontal="center" vertical="center"/>
    </xf>
    <xf numFmtId="0" fontId="21" fillId="4" borderId="15" xfId="0" applyFont="1" applyFill="1" applyBorder="1" applyAlignment="1" applyProtection="1">
      <alignment horizontal="center" vertical="center"/>
    </xf>
    <xf numFmtId="0" fontId="18" fillId="0" borderId="2" xfId="0" applyFont="1" applyFill="1" applyBorder="1" applyAlignment="1" applyProtection="1">
      <alignment horizontal="center" vertical="center" wrapText="1"/>
      <protection locked="0"/>
    </xf>
    <xf numFmtId="0" fontId="18" fillId="0" borderId="3" xfId="0" applyFont="1" applyFill="1" applyBorder="1" applyAlignment="1" applyProtection="1">
      <alignment horizontal="center" vertical="center" wrapText="1"/>
      <protection locked="0"/>
    </xf>
    <xf numFmtId="0" fontId="20" fillId="0" borderId="4" xfId="0" applyFont="1" applyBorder="1" applyAlignment="1" applyProtection="1">
      <alignment vertical="center"/>
      <protection locked="0"/>
    </xf>
    <xf numFmtId="0" fontId="21" fillId="2" borderId="1" xfId="0" applyFont="1" applyFill="1" applyBorder="1" applyAlignment="1" applyProtection="1">
      <alignment horizontal="left" vertical="center"/>
    </xf>
    <xf numFmtId="0" fontId="20" fillId="0" borderId="1" xfId="0" applyFont="1" applyBorder="1" applyAlignment="1" applyProtection="1">
      <alignment vertical="center"/>
    </xf>
    <xf numFmtId="0" fontId="18" fillId="0" borderId="2" xfId="0" applyFont="1" applyFill="1" applyBorder="1" applyAlignment="1" applyProtection="1">
      <alignment horizontal="center" vertical="center"/>
    </xf>
    <xf numFmtId="0" fontId="18" fillId="0" borderId="3" xfId="0" applyFont="1" applyFill="1" applyBorder="1" applyAlignment="1" applyProtection="1">
      <alignment horizontal="center" vertical="center"/>
    </xf>
    <xf numFmtId="0" fontId="18" fillId="0" borderId="8" xfId="0" applyFont="1" applyFill="1" applyBorder="1" applyAlignment="1" applyProtection="1">
      <alignment horizontal="center" vertical="center"/>
    </xf>
    <xf numFmtId="0" fontId="21" fillId="2" borderId="29" xfId="0" applyFont="1" applyFill="1" applyBorder="1" applyAlignment="1" applyProtection="1">
      <alignment horizontal="left" vertical="center" wrapText="1"/>
    </xf>
    <xf numFmtId="0" fontId="20" fillId="0" borderId="26" xfId="0" applyFont="1" applyBorder="1" applyAlignment="1" applyProtection="1">
      <alignment horizontal="left" vertical="center" wrapText="1"/>
    </xf>
    <xf numFmtId="14" fontId="18" fillId="0" borderId="25" xfId="0" applyNumberFormat="1" applyFont="1" applyFill="1" applyBorder="1" applyAlignment="1" applyProtection="1">
      <alignment horizontal="center" vertical="center" wrapText="1"/>
      <protection locked="0"/>
    </xf>
    <xf numFmtId="0" fontId="20" fillId="0" borderId="31" xfId="0" applyFont="1" applyBorder="1" applyAlignment="1" applyProtection="1">
      <alignment horizontal="center" vertical="center" wrapText="1"/>
      <protection locked="0"/>
    </xf>
    <xf numFmtId="0" fontId="20" fillId="0" borderId="26" xfId="0" applyFont="1" applyBorder="1" applyAlignment="1" applyProtection="1">
      <alignment vertical="center"/>
      <protection locked="0"/>
    </xf>
    <xf numFmtId="0" fontId="21" fillId="2" borderId="24" xfId="0" applyFont="1" applyFill="1" applyBorder="1" applyAlignment="1" applyProtection="1">
      <alignment horizontal="left" vertical="center"/>
    </xf>
    <xf numFmtId="0" fontId="20" fillId="0" borderId="24" xfId="0" applyFont="1" applyBorder="1" applyAlignment="1" applyProtection="1">
      <alignment vertical="center"/>
    </xf>
    <xf numFmtId="14" fontId="15" fillId="0" borderId="25" xfId="0" applyNumberFormat="1" applyFont="1" applyBorder="1" applyAlignment="1" applyProtection="1">
      <alignment horizontal="center" vertical="center"/>
      <protection locked="0"/>
    </xf>
    <xf numFmtId="14" fontId="15" fillId="0" borderId="31" xfId="0" applyNumberFormat="1" applyFont="1" applyBorder="1" applyAlignment="1" applyProtection="1">
      <alignment horizontal="center" vertical="center"/>
      <protection locked="0"/>
    </xf>
    <xf numFmtId="14" fontId="15" fillId="0" borderId="27" xfId="0" applyNumberFormat="1" applyFont="1" applyBorder="1" applyAlignment="1" applyProtection="1">
      <alignment horizontal="center" vertical="center"/>
      <protection locked="0"/>
    </xf>
    <xf numFmtId="2" fontId="18" fillId="3" borderId="2" xfId="0" applyNumberFormat="1" applyFont="1" applyFill="1" applyBorder="1" applyAlignment="1" applyProtection="1">
      <alignment horizontal="center" vertical="center" wrapText="1"/>
      <protection locked="0"/>
    </xf>
    <xf numFmtId="2" fontId="20" fillId="0" borderId="4" xfId="0" applyNumberFormat="1" applyFont="1" applyBorder="1" applyAlignment="1" applyProtection="1">
      <alignment horizontal="center" vertical="center" wrapText="1"/>
      <protection locked="0"/>
    </xf>
    <xf numFmtId="2" fontId="35" fillId="2" borderId="4" xfId="0" applyNumberFormat="1" applyFont="1" applyFill="1" applyBorder="1" applyAlignment="1" applyProtection="1">
      <alignment horizontal="center" vertical="center" wrapText="1"/>
      <protection locked="0"/>
    </xf>
    <xf numFmtId="0" fontId="21" fillId="2" borderId="12" xfId="0" applyNumberFormat="1" applyFont="1" applyFill="1" applyBorder="1" applyAlignment="1" applyProtection="1">
      <alignment horizontal="center" vertical="center"/>
    </xf>
    <xf numFmtId="0" fontId="21" fillId="2" borderId="13" xfId="0" applyNumberFormat="1" applyFont="1" applyFill="1" applyBorder="1" applyAlignment="1" applyProtection="1">
      <alignment horizontal="center" vertical="center"/>
    </xf>
    <xf numFmtId="4" fontId="18" fillId="0" borderId="62" xfId="1" applyNumberFormat="1" applyFont="1" applyBorder="1" applyAlignment="1" applyProtection="1">
      <alignment horizontal="center" vertical="center" wrapText="1"/>
      <protection locked="0"/>
    </xf>
    <xf numFmtId="0" fontId="20" fillId="0" borderId="63" xfId="0" applyFont="1" applyBorder="1" applyAlignment="1" applyProtection="1">
      <alignment horizontal="center" vertical="center" wrapText="1"/>
      <protection locked="0"/>
    </xf>
    <xf numFmtId="4" fontId="34" fillId="2" borderId="62" xfId="1" applyNumberFormat="1" applyFont="1" applyFill="1" applyBorder="1" applyAlignment="1" applyProtection="1">
      <alignment horizontal="center" vertical="center" wrapText="1"/>
      <protection locked="0"/>
    </xf>
    <xf numFmtId="0" fontId="35" fillId="2" borderId="63" xfId="0" applyFont="1" applyFill="1" applyBorder="1" applyAlignment="1" applyProtection="1">
      <alignment horizontal="center" vertical="center" wrapText="1"/>
      <protection locked="0"/>
    </xf>
  </cellXfs>
  <cellStyles count="3">
    <cellStyle name="Čárka" xfId="1" builtinId="3"/>
    <cellStyle name="Normální" xfId="0" builtinId="0"/>
    <cellStyle name="Normální 2" xfId="2"/>
  </cellStyles>
  <dxfs count="3">
    <dxf>
      <font>
        <color rgb="FF006100"/>
      </font>
      <fill>
        <patternFill>
          <bgColor rgb="FFC6EFCE"/>
        </patternFill>
      </fill>
    </dxf>
    <dxf>
      <font>
        <color rgb="FF9C0006"/>
      </font>
      <fill>
        <patternFill>
          <bgColor rgb="FFFFC7CE"/>
        </patternFill>
      </fill>
    </dxf>
    <dxf>
      <font>
        <color theme="0" tint="-0.34998626667073579"/>
      </font>
      <fill>
        <patternFill>
          <bgColor theme="0" tint="-0.14996795556505021"/>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vhasova\Desktop\Dotaznik_PPV_PRAZDN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rojekty_RIZENI\Metodika_Odpovednosti%20a%20kompetenci\PROCESY\UCETNI\Seznam%20zakazek_navrh%20reseni_PREDFI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otazník"/>
      <sheetName val="ZDROJE"/>
    </sheetNames>
    <sheetDataSet>
      <sheetData sheetId="0">
        <row r="7">
          <cell r="L7" t="str">
            <v>CZ.02.2.67/0.0/0.0/16_016/0002409</v>
          </cell>
        </row>
        <row r="10">
          <cell r="L10" t="str">
            <v>Řízení projektu (ERDF)</v>
          </cell>
        </row>
        <row r="20">
          <cell r="AB20" t="str">
            <v>ZV</v>
          </cell>
        </row>
        <row r="21">
          <cell r="AB21" t="str">
            <v>PN</v>
          </cell>
        </row>
        <row r="76">
          <cell r="B76" t="str">
            <v>622 Rozvoj ERDF PN ZV KA3 DA3.0</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zbor řešení"/>
      <sheetName val="Zakázky"/>
      <sheetName val="Zakázky  PREDFIN (2)"/>
      <sheetName val="Zakázky  PREDFIN"/>
      <sheetName val="Zakázky 2"/>
      <sheetName val="Zakázky původní"/>
      <sheetName val="Vysvětlivky"/>
      <sheetName val="ZDROJ"/>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B2" t="str">
            <v>102010</v>
          </cell>
          <cell r="C2" t="str">
            <v>HLČ/nevěda/příspěvek</v>
          </cell>
        </row>
        <row r="3">
          <cell r="B3" t="str">
            <v>102011</v>
          </cell>
          <cell r="C3" t="str">
            <v>HLČ/nevěda/přísp.převedený do fondu</v>
          </cell>
        </row>
        <row r="4">
          <cell r="A4" t="str">
            <v>ZV</v>
          </cell>
          <cell r="B4" t="str">
            <v>102020</v>
          </cell>
          <cell r="C4" t="str">
            <v>HLČ/nevěda/dotace</v>
          </cell>
        </row>
        <row r="5">
          <cell r="B5" t="str">
            <v>102021</v>
          </cell>
          <cell r="C5" t="str">
            <v>HLČ/nevěda/dot.převedená do fondu</v>
          </cell>
        </row>
        <row r="6">
          <cell r="B6" t="str">
            <v>102023</v>
          </cell>
          <cell r="C6" t="str">
            <v>HLČ/nevěda/budoucí dot.-předfinanc.</v>
          </cell>
        </row>
        <row r="7">
          <cell r="A7" t="str">
            <v>NV</v>
          </cell>
          <cell r="B7" t="str">
            <v>102031</v>
          </cell>
          <cell r="C7" t="str">
            <v>HLČ/nevěda/vl.zdroje</v>
          </cell>
        </row>
        <row r="8">
          <cell r="B8" t="str">
            <v>102032</v>
          </cell>
          <cell r="C8" t="str">
            <v>HLČ/nevěda/vl.zdroje ze spol.sml.</v>
          </cell>
        </row>
        <row r="9">
          <cell r="B9" t="str">
            <v>104020</v>
          </cell>
          <cell r="C9" t="str">
            <v>HLČ/věda/dotace</v>
          </cell>
        </row>
        <row r="10">
          <cell r="B10" t="str">
            <v>104021</v>
          </cell>
          <cell r="C10" t="str">
            <v>HLČ/věda/dot.převedená do fondu</v>
          </cell>
        </row>
        <row r="11">
          <cell r="B11">
            <v>104023</v>
          </cell>
          <cell r="C11" t="str">
            <v>HLČ/věda/budoucí dot.-předfinanc.</v>
          </cell>
        </row>
        <row r="12">
          <cell r="B12" t="str">
            <v>104031</v>
          </cell>
          <cell r="C12" t="str">
            <v>HLČ/věda/vl.zdroje</v>
          </cell>
        </row>
        <row r="13">
          <cell r="B13" t="str">
            <v>104032</v>
          </cell>
          <cell r="C13" t="str">
            <v>HLČ/věda/vl.zdroje ze spol.sml.</v>
          </cell>
        </row>
        <row r="14">
          <cell r="B14" t="str">
            <v>902020</v>
          </cell>
          <cell r="C14" t="str">
            <v>DOČ/nevěda/dotace</v>
          </cell>
        </row>
        <row r="15">
          <cell r="B15" t="str">
            <v>902031</v>
          </cell>
          <cell r="C15" t="str">
            <v>DOČ/nevěda/vl.zdroje</v>
          </cell>
        </row>
        <row r="16">
          <cell r="B16" t="str">
            <v>902032</v>
          </cell>
          <cell r="C16" t="str">
            <v>DOČ/nevěda/vl.zdroje ze spol.sml.</v>
          </cell>
        </row>
        <row r="17">
          <cell r="B17" t="str">
            <v>904031</v>
          </cell>
          <cell r="C17" t="str">
            <v>DOČ/věda/vl.zdroje</v>
          </cell>
        </row>
        <row r="18">
          <cell r="B18" t="str">
            <v>904032</v>
          </cell>
          <cell r="C18" t="str">
            <v>DOČ/věda/vl.zdroje ze spol.sml.</v>
          </cell>
        </row>
        <row r="19">
          <cell r="B19" t="str">
            <v>904033</v>
          </cell>
          <cell r="C19" t="str">
            <v>DOČ/věda/smluvní výzkum</v>
          </cell>
        </row>
        <row r="20">
          <cell r="B20" t="str">
            <v>904034</v>
          </cell>
          <cell r="C20" t="str">
            <v>DOČ/věda/kolaborativní výzkum</v>
          </cell>
        </row>
      </sheetData>
    </sheetDataSet>
  </externalBook>
</externalLink>
</file>

<file path=xl/theme/theme1.xml><?xml version="1.0" encoding="utf-8"?>
<a:theme xmlns:a="http://schemas.openxmlformats.org/drawingml/2006/main" name="Motiv Office">
  <a:themeElements>
    <a:clrScheme name="JU">
      <a:dk1>
        <a:srgbClr val="151515"/>
      </a:dk1>
      <a:lt1>
        <a:sysClr val="window" lastClr="FFFFFF"/>
      </a:lt1>
      <a:dk2>
        <a:srgbClr val="E00034"/>
      </a:dk2>
      <a:lt2>
        <a:srgbClr val="D8D8D8"/>
      </a:lt2>
      <a:accent1>
        <a:srgbClr val="E00034"/>
      </a:accent1>
      <a:accent2>
        <a:srgbClr val="E98300"/>
      </a:accent2>
      <a:accent3>
        <a:srgbClr val="007D57"/>
      </a:accent3>
      <a:accent4>
        <a:srgbClr val="9C5FB5"/>
      </a:accent4>
      <a:accent5>
        <a:srgbClr val="5BBBB7"/>
      </a:accent5>
      <a:accent6>
        <a:srgbClr val="D10074"/>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77"/>
  <sheetViews>
    <sheetView showGridLines="0" tabSelected="1" showRuler="0" zoomScale="90" zoomScaleNormal="90" zoomScaleSheetLayoutView="80" workbookViewId="0">
      <selection activeCell="I14" sqref="I14"/>
    </sheetView>
  </sheetViews>
  <sheetFormatPr defaultRowHeight="16.5" x14ac:dyDescent="0.3"/>
  <cols>
    <col min="1" max="1" width="8.42578125" style="115" customWidth="1"/>
    <col min="2" max="2" width="6.7109375" style="115" customWidth="1"/>
    <col min="3" max="3" width="8.140625" style="115" customWidth="1"/>
    <col min="4" max="4" width="26.5703125" style="115" customWidth="1"/>
    <col min="5" max="5" width="11" style="115" bestFit="1" customWidth="1"/>
    <col min="6" max="6" width="8.85546875" style="115" customWidth="1"/>
    <col min="7" max="7" width="9.140625" style="115" customWidth="1"/>
    <col min="8" max="8" width="8.7109375" style="115" customWidth="1"/>
    <col min="9" max="9" width="9.140625" style="115"/>
    <col min="10" max="10" width="8.5703125" style="115" customWidth="1"/>
    <col min="11" max="11" width="9.140625" style="115"/>
    <col min="12" max="12" width="9.5703125" style="115" customWidth="1"/>
    <col min="13" max="13" width="9.140625" style="115"/>
    <col min="14" max="14" width="8.5703125" style="115" customWidth="1"/>
    <col min="15" max="15" width="9.140625" style="115"/>
    <col min="16" max="16" width="8.7109375" style="115" customWidth="1"/>
    <col min="17" max="18" width="9.140625" style="115"/>
    <col min="19" max="19" width="5.42578125" style="115" customWidth="1"/>
    <col min="20" max="20" width="8.28515625" style="115" hidden="1" customWidth="1"/>
    <col min="21" max="21" width="9.140625" style="115" hidden="1" customWidth="1"/>
    <col min="22" max="22" width="2.42578125" style="115" hidden="1" customWidth="1"/>
    <col min="23" max="23" width="9.140625" style="115" hidden="1" customWidth="1"/>
    <col min="24" max="16384" width="9.140625" style="115"/>
  </cols>
  <sheetData>
    <row r="1" spans="1:18" ht="24.75" customHeight="1" x14ac:dyDescent="0.3">
      <c r="A1" s="264" t="s">
        <v>0</v>
      </c>
      <c r="B1" s="264"/>
      <c r="C1" s="264"/>
      <c r="D1" s="264"/>
      <c r="E1" s="264"/>
      <c r="F1" s="264"/>
      <c r="G1" s="264"/>
      <c r="H1" s="264"/>
      <c r="I1" s="264"/>
      <c r="J1" s="264"/>
      <c r="K1" s="264"/>
      <c r="L1" s="264"/>
      <c r="M1" s="264"/>
      <c r="N1" s="264"/>
      <c r="O1" s="264"/>
      <c r="P1" s="264"/>
    </row>
    <row r="2" spans="1:18" ht="7.5" customHeight="1" thickBot="1" x14ac:dyDescent="0.35">
      <c r="A2" s="92"/>
      <c r="B2" s="92"/>
      <c r="C2" s="92"/>
      <c r="D2" s="92"/>
      <c r="E2" s="92"/>
      <c r="F2" s="92"/>
      <c r="G2" s="92"/>
      <c r="H2" s="92"/>
      <c r="I2" s="92"/>
      <c r="J2" s="92"/>
      <c r="K2" s="92"/>
      <c r="L2" s="92"/>
      <c r="M2" s="92"/>
      <c r="N2" s="92"/>
      <c r="O2" s="92"/>
      <c r="P2" s="92"/>
    </row>
    <row r="3" spans="1:18" ht="16.5" customHeight="1" x14ac:dyDescent="0.3">
      <c r="A3" s="176" t="s">
        <v>2</v>
      </c>
      <c r="B3" s="177"/>
      <c r="C3" s="177"/>
      <c r="D3" s="177"/>
      <c r="E3" s="181" t="s">
        <v>16</v>
      </c>
      <c r="F3" s="177"/>
      <c r="G3" s="177"/>
      <c r="H3" s="177"/>
      <c r="I3" s="177"/>
      <c r="J3" s="177"/>
      <c r="K3" s="177"/>
      <c r="L3" s="182"/>
      <c r="M3" s="181" t="s">
        <v>1</v>
      </c>
      <c r="N3" s="177"/>
      <c r="O3" s="177"/>
      <c r="P3" s="265"/>
    </row>
    <row r="4" spans="1:18" ht="30" customHeight="1" thickBot="1" x14ac:dyDescent="0.35">
      <c r="A4" s="178" t="s">
        <v>43</v>
      </c>
      <c r="B4" s="179"/>
      <c r="C4" s="179"/>
      <c r="D4" s="180"/>
      <c r="E4" s="183" t="s">
        <v>44</v>
      </c>
      <c r="F4" s="183"/>
      <c r="G4" s="183"/>
      <c r="H4" s="183"/>
      <c r="I4" s="183"/>
      <c r="J4" s="183"/>
      <c r="K4" s="183"/>
      <c r="L4" s="184"/>
      <c r="M4" s="266" t="str">
        <f>VLOOKUP(A4,ZDROJE!C3:J5,2,0)</f>
        <v>CZ.02.2.69/0.0/0.0/16_015/0002348</v>
      </c>
      <c r="N4" s="183"/>
      <c r="O4" s="183"/>
      <c r="P4" s="267"/>
    </row>
    <row r="5" spans="1:18" ht="6.75" customHeight="1" thickBot="1" x14ac:dyDescent="0.35">
      <c r="A5" s="93"/>
      <c r="B5" s="93"/>
      <c r="C5" s="93"/>
      <c r="D5" s="93"/>
      <c r="E5" s="93"/>
      <c r="F5" s="93"/>
      <c r="G5" s="93"/>
      <c r="H5" s="93"/>
      <c r="I5" s="268"/>
      <c r="J5" s="269"/>
      <c r="K5" s="269"/>
      <c r="L5" s="269"/>
      <c r="M5" s="93"/>
      <c r="N5" s="93"/>
      <c r="O5" s="93"/>
      <c r="P5" s="93"/>
    </row>
    <row r="6" spans="1:18" ht="26.25" customHeight="1" x14ac:dyDescent="0.3">
      <c r="A6" s="270" t="s">
        <v>3</v>
      </c>
      <c r="B6" s="271"/>
      <c r="C6" s="271"/>
      <c r="D6" s="272"/>
      <c r="E6" s="273" t="s">
        <v>635</v>
      </c>
      <c r="F6" s="274"/>
      <c r="G6" s="274"/>
      <c r="H6" s="275"/>
      <c r="I6" s="272" t="s">
        <v>4</v>
      </c>
      <c r="J6" s="276"/>
      <c r="K6" s="276"/>
      <c r="L6" s="276"/>
      <c r="M6" s="277" t="s">
        <v>149</v>
      </c>
      <c r="N6" s="278"/>
      <c r="O6" s="278"/>
      <c r="P6" s="279"/>
    </row>
    <row r="7" spans="1:18" x14ac:dyDescent="0.3">
      <c r="A7" s="242" t="s">
        <v>5</v>
      </c>
      <c r="B7" s="243"/>
      <c r="C7" s="243"/>
      <c r="D7" s="244"/>
      <c r="E7" s="283" t="s">
        <v>234</v>
      </c>
      <c r="F7" s="284"/>
      <c r="G7" s="284"/>
      <c r="H7" s="285"/>
      <c r="I7" s="286" t="s">
        <v>6</v>
      </c>
      <c r="J7" s="287"/>
      <c r="K7" s="287"/>
      <c r="L7" s="287"/>
      <c r="M7" s="288" t="str">
        <f>VLOOKUP(E7,ZDROJE!AN3:AO32,2,0)</f>
        <v>1.1.1.2.1.3</v>
      </c>
      <c r="N7" s="289"/>
      <c r="O7" s="289"/>
      <c r="P7" s="290"/>
    </row>
    <row r="8" spans="1:18" ht="16.5" customHeight="1" thickBot="1" x14ac:dyDescent="0.35">
      <c r="A8" s="291" t="s">
        <v>22</v>
      </c>
      <c r="B8" s="135"/>
      <c r="C8" s="135"/>
      <c r="D8" s="292"/>
      <c r="E8" s="293">
        <v>43282</v>
      </c>
      <c r="F8" s="294"/>
      <c r="G8" s="294"/>
      <c r="H8" s="295"/>
      <c r="I8" s="296" t="s">
        <v>21</v>
      </c>
      <c r="J8" s="297"/>
      <c r="K8" s="297"/>
      <c r="L8" s="297"/>
      <c r="M8" s="298">
        <v>43373</v>
      </c>
      <c r="N8" s="299"/>
      <c r="O8" s="299"/>
      <c r="P8" s="300"/>
    </row>
    <row r="9" spans="1:18" ht="6.75" customHeight="1" thickBot="1" x14ac:dyDescent="0.35">
      <c r="A9" s="237"/>
      <c r="B9" s="238"/>
      <c r="C9" s="238"/>
      <c r="D9" s="239"/>
      <c r="E9" s="116"/>
      <c r="F9" s="117"/>
      <c r="G9" s="117"/>
      <c r="H9" s="94"/>
      <c r="I9" s="94"/>
      <c r="J9" s="94"/>
      <c r="K9" s="94"/>
      <c r="L9" s="117"/>
      <c r="M9" s="117"/>
      <c r="N9" s="117"/>
      <c r="O9" s="117"/>
      <c r="P9" s="117"/>
    </row>
    <row r="10" spans="1:18" x14ac:dyDescent="0.3">
      <c r="A10" s="250" t="s">
        <v>23</v>
      </c>
      <c r="B10" s="251"/>
      <c r="C10" s="251"/>
      <c r="D10" s="252"/>
      <c r="E10" s="259" t="str">
        <f>IF(MONTH(E8)=1,"leden",IF(MONTH(E8)=2,"únor",IF(MONTH(E8)=3, "březen",IF(MONTH(E8)=4,"duben",IF(MONTH(E8)=5,"květen",IF(MONTH(E8)=6,"červen",IF(MONTH(E8)=7,"červenec",IF(MONTH(E8)=8,"srpen",IF(MONTH(E8)=9,"září",IF(MONTH(E8)=10,"říjen",IF(MONTH(E8)=11,"listopad","prosinec")))))))))))</f>
        <v>červenec</v>
      </c>
      <c r="F10" s="260"/>
      <c r="G10" s="253" t="str">
        <f>IF(E10="leden","únor",IF(E10="únor","březen",IF(E10="březen","duben",IF(E10="duben","květen",IF(E10="květen","červen",IF(E10="červen","červenec",IF(E10="červenec","srpen",IF(E10="srpen","září",IF(E10="září","říjen",IF(E10="říjen","listopad",IF(E10="listopad","prosinec","leden" )))))))))))</f>
        <v>srpen</v>
      </c>
      <c r="H10" s="253"/>
      <c r="I10" s="254" t="str">
        <f>IF(G10="leden","únor",IF(G10="únor","březen",IF(G10="březen","duben",IF(G10="duben","květen",IF(G10="květen","červen",IF(G10="červen","červenec",IF(G10="červenec","srpen",IF(G10="srpen","září",IF(G10="září","říjen",IF(G10="říjen","listopad",IF(G10="listopad","prosinec","leden" )))))))))))</f>
        <v>září</v>
      </c>
      <c r="J10" s="255"/>
      <c r="K10" s="256" t="str">
        <f t="shared" ref="K10" si="0">IF(I10="leden","únor",IF(I10="únor","březen",IF(I10="březen","duben",IF(I10="duben","květen",IF(I10="květen","červen",IF(I10="červen","červenec",IF(I10="červenec","srpen",IF(I10="srpen","září",IF(I10="září","říjen",IF(I10="říjen","listopad",IF(I10="listopad","prosinec","leden" )))))))))))</f>
        <v>říjen</v>
      </c>
      <c r="L10" s="257"/>
      <c r="M10" s="256" t="str">
        <f t="shared" ref="M10" si="1">IF(K10="leden","únor",IF(K10="únor","březen",IF(K10="březen","duben",IF(K10="duben","květen",IF(K10="květen","červen",IF(K10="červen","červenec",IF(K10="červenec","srpen",IF(K10="srpen","září",IF(K10="září","říjen",IF(K10="říjen","listopad",IF(K10="listopad","prosinec","leden" )))))))))))</f>
        <v>listopad</v>
      </c>
      <c r="N10" s="257"/>
      <c r="O10" s="256" t="str">
        <f t="shared" ref="O10" si="2">IF(M10="leden","únor",IF(M10="únor","březen",IF(M10="březen","duben",IF(M10="duben","květen",IF(M10="květen","červen",IF(M10="červen","červenec",IF(M10="červenec","srpen",IF(M10="srpen","září",IF(M10="září","říjen",IF(M10="říjen","listopad",IF(M10="listopad","prosinec","leden" )))))))))))</f>
        <v>prosinec</v>
      </c>
      <c r="P10" s="258"/>
      <c r="Q10" s="240"/>
      <c r="R10" s="241"/>
    </row>
    <row r="11" spans="1:18" ht="17.25" customHeight="1" x14ac:dyDescent="0.3">
      <c r="A11" s="242" t="s">
        <v>20</v>
      </c>
      <c r="B11" s="243"/>
      <c r="C11" s="243"/>
      <c r="D11" s="244"/>
      <c r="E11" s="245">
        <v>0.2</v>
      </c>
      <c r="F11" s="246"/>
      <c r="G11" s="245">
        <v>0.2</v>
      </c>
      <c r="H11" s="246"/>
      <c r="I11" s="245">
        <v>0.2</v>
      </c>
      <c r="J11" s="246"/>
      <c r="K11" s="247"/>
      <c r="L11" s="248"/>
      <c r="M11" s="247"/>
      <c r="N11" s="248"/>
      <c r="O11" s="247"/>
      <c r="P11" s="249"/>
    </row>
    <row r="12" spans="1:18" ht="30" customHeight="1" x14ac:dyDescent="0.3">
      <c r="A12" s="261" t="s">
        <v>19</v>
      </c>
      <c r="B12" s="262"/>
      <c r="C12" s="262"/>
      <c r="D12" s="263"/>
      <c r="E12" s="301">
        <v>1</v>
      </c>
      <c r="F12" s="302"/>
      <c r="G12" s="301">
        <v>1</v>
      </c>
      <c r="H12" s="302"/>
      <c r="I12" s="301">
        <v>1</v>
      </c>
      <c r="J12" s="302"/>
      <c r="K12" s="234"/>
      <c r="L12" s="303"/>
      <c r="M12" s="234"/>
      <c r="N12" s="303"/>
      <c r="O12" s="234"/>
      <c r="P12" s="235"/>
    </row>
    <row r="13" spans="1:18" ht="29.25" customHeight="1" thickBot="1" x14ac:dyDescent="0.35">
      <c r="A13" s="196" t="s">
        <v>7</v>
      </c>
      <c r="B13" s="136"/>
      <c r="C13" s="136"/>
      <c r="D13" s="197"/>
      <c r="E13" s="198">
        <v>1</v>
      </c>
      <c r="F13" s="199"/>
      <c r="G13" s="198">
        <v>1</v>
      </c>
      <c r="H13" s="199"/>
      <c r="I13" s="198">
        <v>1</v>
      </c>
      <c r="J13" s="199"/>
      <c r="K13" s="168"/>
      <c r="L13" s="169"/>
      <c r="M13" s="168"/>
      <c r="N13" s="169"/>
      <c r="O13" s="168"/>
      <c r="P13" s="236"/>
    </row>
    <row r="14" spans="1:18" ht="6.75" customHeight="1" thickBot="1" x14ac:dyDescent="0.35">
      <c r="A14" s="95"/>
      <c r="B14" s="95"/>
      <c r="C14" s="95"/>
      <c r="D14" s="95"/>
      <c r="E14" s="95"/>
      <c r="F14" s="95"/>
      <c r="G14" s="95"/>
      <c r="H14" s="95"/>
      <c r="I14" s="95"/>
      <c r="J14" s="95"/>
      <c r="K14" s="96"/>
      <c r="L14" s="97"/>
      <c r="M14" s="92"/>
      <c r="N14" s="92"/>
      <c r="O14" s="92"/>
      <c r="P14" s="92"/>
    </row>
    <row r="15" spans="1:18" ht="17.25" customHeight="1" thickBot="1" x14ac:dyDescent="0.35">
      <c r="A15" s="280" t="s">
        <v>35</v>
      </c>
      <c r="B15" s="281"/>
      <c r="C15" s="281"/>
      <c r="D15" s="281"/>
      <c r="E15" s="281"/>
      <c r="F15" s="281"/>
      <c r="G15" s="281"/>
      <c r="H15" s="281"/>
      <c r="I15" s="281"/>
      <c r="J15" s="281"/>
      <c r="K15" s="281"/>
      <c r="L15" s="281"/>
      <c r="M15" s="281"/>
      <c r="N15" s="281"/>
      <c r="O15" s="281"/>
      <c r="P15" s="282"/>
    </row>
    <row r="16" spans="1:18" ht="25.5" x14ac:dyDescent="0.3">
      <c r="A16" s="98" t="s">
        <v>32</v>
      </c>
      <c r="B16" s="99" t="s">
        <v>31</v>
      </c>
      <c r="C16" s="99" t="s">
        <v>30</v>
      </c>
      <c r="D16" s="99" t="s">
        <v>8</v>
      </c>
      <c r="E16" s="210" t="s">
        <v>33</v>
      </c>
      <c r="F16" s="211"/>
      <c r="G16" s="211"/>
      <c r="H16" s="211"/>
      <c r="I16" s="211"/>
      <c r="J16" s="211"/>
      <c r="K16" s="211"/>
      <c r="L16" s="211"/>
      <c r="M16" s="211"/>
      <c r="N16" s="211"/>
      <c r="O16" s="212"/>
      <c r="P16" s="100" t="s">
        <v>9</v>
      </c>
    </row>
    <row r="17" spans="1:17" ht="16.5" customHeight="1" x14ac:dyDescent="0.3">
      <c r="A17" s="131" t="str">
        <f>E10</f>
        <v>červenec</v>
      </c>
      <c r="B17" s="101" t="s">
        <v>10</v>
      </c>
      <c r="C17" s="122"/>
      <c r="D17" s="123" t="s">
        <v>636</v>
      </c>
      <c r="E17" s="189" t="s">
        <v>638</v>
      </c>
      <c r="F17" s="190"/>
      <c r="G17" s="190"/>
      <c r="H17" s="190"/>
      <c r="I17" s="190"/>
      <c r="J17" s="190"/>
      <c r="K17" s="190"/>
      <c r="L17" s="190"/>
      <c r="M17" s="190"/>
      <c r="N17" s="190"/>
      <c r="O17" s="191"/>
      <c r="P17" s="103">
        <v>6</v>
      </c>
    </row>
    <row r="18" spans="1:17" ht="16.5" customHeight="1" x14ac:dyDescent="0.3">
      <c r="A18" s="132"/>
      <c r="B18" s="101" t="s">
        <v>11</v>
      </c>
      <c r="C18" s="122"/>
      <c r="D18" s="123" t="s">
        <v>637</v>
      </c>
      <c r="E18" s="189" t="s">
        <v>639</v>
      </c>
      <c r="F18" s="190"/>
      <c r="G18" s="190"/>
      <c r="H18" s="190"/>
      <c r="I18" s="190"/>
      <c r="J18" s="190"/>
      <c r="K18" s="190"/>
      <c r="L18" s="190"/>
      <c r="M18" s="190"/>
      <c r="N18" s="190"/>
      <c r="O18" s="191"/>
      <c r="P18" s="103">
        <v>10</v>
      </c>
    </row>
    <row r="19" spans="1:17" x14ac:dyDescent="0.3">
      <c r="A19" s="132"/>
      <c r="B19" s="101" t="s">
        <v>12</v>
      </c>
      <c r="C19" s="122"/>
      <c r="D19" s="123"/>
      <c r="E19" s="170"/>
      <c r="F19" s="171"/>
      <c r="G19" s="171"/>
      <c r="H19" s="171"/>
      <c r="I19" s="171"/>
      <c r="J19" s="171"/>
      <c r="K19" s="171"/>
      <c r="L19" s="171"/>
      <c r="M19" s="171"/>
      <c r="N19" s="171"/>
      <c r="O19" s="172"/>
      <c r="P19" s="103"/>
    </row>
    <row r="20" spans="1:17" x14ac:dyDescent="0.3">
      <c r="A20" s="132"/>
      <c r="B20" s="101" t="s">
        <v>13</v>
      </c>
      <c r="C20" s="122"/>
      <c r="D20" s="102"/>
      <c r="E20" s="170"/>
      <c r="F20" s="171"/>
      <c r="G20" s="171"/>
      <c r="H20" s="171"/>
      <c r="I20" s="171"/>
      <c r="J20" s="171"/>
      <c r="K20" s="171"/>
      <c r="L20" s="171"/>
      <c r="M20" s="171"/>
      <c r="N20" s="171"/>
      <c r="O20" s="172"/>
      <c r="P20" s="103"/>
    </row>
    <row r="21" spans="1:17" x14ac:dyDescent="0.3">
      <c r="A21" s="132"/>
      <c r="B21" s="101" t="s">
        <v>14</v>
      </c>
      <c r="C21" s="122"/>
      <c r="D21" s="102"/>
      <c r="E21" s="170"/>
      <c r="F21" s="171"/>
      <c r="G21" s="171"/>
      <c r="H21" s="171"/>
      <c r="I21" s="171"/>
      <c r="J21" s="171"/>
      <c r="K21" s="171"/>
      <c r="L21" s="171"/>
      <c r="M21" s="171"/>
      <c r="N21" s="171"/>
      <c r="O21" s="172"/>
      <c r="P21" s="103"/>
    </row>
    <row r="22" spans="1:17" ht="17.25" thickBot="1" x14ac:dyDescent="0.35">
      <c r="A22" s="133"/>
      <c r="B22" s="134" t="s">
        <v>34</v>
      </c>
      <c r="C22" s="135"/>
      <c r="D22" s="135"/>
      <c r="E22" s="135"/>
      <c r="F22" s="135"/>
      <c r="G22" s="135"/>
      <c r="H22" s="135"/>
      <c r="I22" s="135"/>
      <c r="J22" s="135"/>
      <c r="K22" s="135"/>
      <c r="L22" s="135"/>
      <c r="M22" s="135"/>
      <c r="N22" s="135"/>
      <c r="O22" s="136"/>
      <c r="P22" s="118">
        <f>SUM(P17:P21)</f>
        <v>16</v>
      </c>
      <c r="Q22" s="119">
        <f>E58-E66-E63</f>
        <v>0</v>
      </c>
    </row>
    <row r="23" spans="1:17" ht="16.5" customHeight="1" x14ac:dyDescent="0.3">
      <c r="A23" s="131" t="str">
        <f>IF(A17="leden","únor",IF(A17="únor","březen",IF(A17="březen","duben",IF(A17="duben","květen",IF(A17="květen","červen",IF(A17="červen","červenec",IF(A17="červenec","srpen",IF(A17="srpen","září",IF(A17="září","říjen",IF(A17="říjen","listopad",IF(A17="listopad","prosinec","leden")))))))))))</f>
        <v>srpen</v>
      </c>
      <c r="B23" s="101" t="s">
        <v>10</v>
      </c>
      <c r="C23" s="122"/>
      <c r="D23" s="123" t="s">
        <v>636</v>
      </c>
      <c r="E23" s="189" t="s">
        <v>641</v>
      </c>
      <c r="F23" s="190"/>
      <c r="G23" s="190"/>
      <c r="H23" s="190"/>
      <c r="I23" s="190"/>
      <c r="J23" s="190"/>
      <c r="K23" s="190"/>
      <c r="L23" s="190"/>
      <c r="M23" s="190"/>
      <c r="N23" s="190"/>
      <c r="O23" s="191"/>
      <c r="P23" s="103">
        <v>7</v>
      </c>
    </row>
    <row r="24" spans="1:17" x14ac:dyDescent="0.3">
      <c r="A24" s="132"/>
      <c r="B24" s="101" t="s">
        <v>11</v>
      </c>
      <c r="C24" s="122"/>
      <c r="D24" s="123" t="s">
        <v>637</v>
      </c>
      <c r="E24" s="189" t="s">
        <v>640</v>
      </c>
      <c r="F24" s="190"/>
      <c r="G24" s="190"/>
      <c r="H24" s="190"/>
      <c r="I24" s="190"/>
      <c r="J24" s="190"/>
      <c r="K24" s="190"/>
      <c r="L24" s="190"/>
      <c r="M24" s="190"/>
      <c r="N24" s="190"/>
      <c r="O24" s="191"/>
      <c r="P24" s="103">
        <v>7.4</v>
      </c>
    </row>
    <row r="25" spans="1:17" x14ac:dyDescent="0.3">
      <c r="A25" s="132"/>
      <c r="B25" s="101" t="s">
        <v>12</v>
      </c>
      <c r="C25" s="122"/>
      <c r="D25" s="102"/>
      <c r="E25" s="170"/>
      <c r="F25" s="171"/>
      <c r="G25" s="171"/>
      <c r="H25" s="171"/>
      <c r="I25" s="171"/>
      <c r="J25" s="171"/>
      <c r="K25" s="171"/>
      <c r="L25" s="171"/>
      <c r="M25" s="171"/>
      <c r="N25" s="171"/>
      <c r="O25" s="172"/>
      <c r="P25" s="103"/>
    </row>
    <row r="26" spans="1:17" x14ac:dyDescent="0.3">
      <c r="A26" s="132"/>
      <c r="B26" s="101" t="s">
        <v>13</v>
      </c>
      <c r="C26" s="122"/>
      <c r="D26" s="102"/>
      <c r="E26" s="170"/>
      <c r="F26" s="171"/>
      <c r="G26" s="171"/>
      <c r="H26" s="171"/>
      <c r="I26" s="171"/>
      <c r="J26" s="171"/>
      <c r="K26" s="171"/>
      <c r="L26" s="171"/>
      <c r="M26" s="171"/>
      <c r="N26" s="171"/>
      <c r="O26" s="172"/>
      <c r="P26" s="103"/>
    </row>
    <row r="27" spans="1:17" x14ac:dyDescent="0.3">
      <c r="A27" s="132"/>
      <c r="B27" s="101" t="s">
        <v>14</v>
      </c>
      <c r="C27" s="122"/>
      <c r="D27" s="102"/>
      <c r="E27" s="170"/>
      <c r="F27" s="171"/>
      <c r="G27" s="171"/>
      <c r="H27" s="171"/>
      <c r="I27" s="171"/>
      <c r="J27" s="171"/>
      <c r="K27" s="171"/>
      <c r="L27" s="171"/>
      <c r="M27" s="171"/>
      <c r="N27" s="171"/>
      <c r="O27" s="172"/>
      <c r="P27" s="103"/>
    </row>
    <row r="28" spans="1:17" ht="17.25" thickBot="1" x14ac:dyDescent="0.35">
      <c r="A28" s="133"/>
      <c r="B28" s="134" t="s">
        <v>34</v>
      </c>
      <c r="C28" s="135"/>
      <c r="D28" s="135"/>
      <c r="E28" s="135"/>
      <c r="F28" s="135"/>
      <c r="G28" s="135"/>
      <c r="H28" s="135"/>
      <c r="I28" s="135"/>
      <c r="J28" s="135"/>
      <c r="K28" s="135"/>
      <c r="L28" s="135"/>
      <c r="M28" s="135"/>
      <c r="N28" s="135"/>
      <c r="O28" s="136"/>
      <c r="P28" s="118">
        <f>SUM(P23:P27)</f>
        <v>14.4</v>
      </c>
      <c r="Q28" s="119">
        <f>G58-G66-G63</f>
        <v>0</v>
      </c>
    </row>
    <row r="29" spans="1:17" x14ac:dyDescent="0.3">
      <c r="A29" s="131" t="str">
        <f>IF(A23="leden","únor",IF(A23="únor","březen",IF(A23="březen","duben",IF(A23="duben","květen",IF(A23="květen","červen",IF(A23="červen","červenec",IF(A23="červenec","srpen",IF(A23="srpen","září",IF(A23="září","říjen",IF(A23="říjen","listopad",IF(A23="listopad","prosinec","leden")))))))))))</f>
        <v>září</v>
      </c>
      <c r="B29" s="101" t="s">
        <v>10</v>
      </c>
      <c r="C29" s="122"/>
      <c r="D29" s="123" t="s">
        <v>636</v>
      </c>
      <c r="E29" s="189" t="s">
        <v>642</v>
      </c>
      <c r="F29" s="190"/>
      <c r="G29" s="190"/>
      <c r="H29" s="190"/>
      <c r="I29" s="190"/>
      <c r="J29" s="190"/>
      <c r="K29" s="190"/>
      <c r="L29" s="190"/>
      <c r="M29" s="190"/>
      <c r="N29" s="190"/>
      <c r="O29" s="191"/>
      <c r="P29" s="103">
        <v>8</v>
      </c>
    </row>
    <row r="30" spans="1:17" x14ac:dyDescent="0.3">
      <c r="A30" s="132"/>
      <c r="B30" s="101" t="s">
        <v>11</v>
      </c>
      <c r="C30" s="122"/>
      <c r="D30" s="123" t="s">
        <v>637</v>
      </c>
      <c r="E30" s="189" t="s">
        <v>643</v>
      </c>
      <c r="F30" s="190"/>
      <c r="G30" s="190"/>
      <c r="H30" s="190"/>
      <c r="I30" s="190"/>
      <c r="J30" s="190"/>
      <c r="K30" s="190"/>
      <c r="L30" s="190"/>
      <c r="M30" s="190"/>
      <c r="N30" s="190"/>
      <c r="O30" s="191"/>
      <c r="P30" s="103">
        <v>12</v>
      </c>
    </row>
    <row r="31" spans="1:17" ht="16.5" customHeight="1" x14ac:dyDescent="0.3">
      <c r="A31" s="132"/>
      <c r="B31" s="101" t="s">
        <v>12</v>
      </c>
      <c r="C31" s="122"/>
      <c r="D31" s="123" t="s">
        <v>637</v>
      </c>
      <c r="E31" s="189" t="s">
        <v>644</v>
      </c>
      <c r="F31" s="190"/>
      <c r="G31" s="190"/>
      <c r="H31" s="190"/>
      <c r="I31" s="190"/>
      <c r="J31" s="190"/>
      <c r="K31" s="190"/>
      <c r="L31" s="190"/>
      <c r="M31" s="190"/>
      <c r="N31" s="190"/>
      <c r="O31" s="191"/>
      <c r="P31" s="103">
        <v>10.4</v>
      </c>
    </row>
    <row r="32" spans="1:17" x14ac:dyDescent="0.3">
      <c r="A32" s="132"/>
      <c r="B32" s="101" t="s">
        <v>13</v>
      </c>
      <c r="C32" s="122"/>
      <c r="D32" s="102"/>
      <c r="E32" s="170"/>
      <c r="F32" s="171"/>
      <c r="G32" s="171"/>
      <c r="H32" s="171"/>
      <c r="I32" s="171"/>
      <c r="J32" s="171"/>
      <c r="K32" s="171"/>
      <c r="L32" s="171"/>
      <c r="M32" s="171"/>
      <c r="N32" s="171"/>
      <c r="O32" s="172"/>
      <c r="P32" s="103"/>
    </row>
    <row r="33" spans="1:17" x14ac:dyDescent="0.3">
      <c r="A33" s="132"/>
      <c r="B33" s="101" t="s">
        <v>14</v>
      </c>
      <c r="C33" s="122"/>
      <c r="D33" s="102"/>
      <c r="E33" s="170"/>
      <c r="F33" s="171"/>
      <c r="G33" s="171"/>
      <c r="H33" s="171"/>
      <c r="I33" s="171"/>
      <c r="J33" s="171"/>
      <c r="K33" s="171"/>
      <c r="L33" s="171"/>
      <c r="M33" s="171"/>
      <c r="N33" s="171"/>
      <c r="O33" s="172"/>
      <c r="P33" s="103"/>
    </row>
    <row r="34" spans="1:17" ht="17.25" thickBot="1" x14ac:dyDescent="0.35">
      <c r="A34" s="133"/>
      <c r="B34" s="134" t="s">
        <v>34</v>
      </c>
      <c r="C34" s="135"/>
      <c r="D34" s="135"/>
      <c r="E34" s="135"/>
      <c r="F34" s="135"/>
      <c r="G34" s="135"/>
      <c r="H34" s="135"/>
      <c r="I34" s="135"/>
      <c r="J34" s="135"/>
      <c r="K34" s="135"/>
      <c r="L34" s="135"/>
      <c r="M34" s="135"/>
      <c r="N34" s="135"/>
      <c r="O34" s="136"/>
      <c r="P34" s="118">
        <f>SUM(P29:P33)</f>
        <v>30.4</v>
      </c>
      <c r="Q34" s="119">
        <f>I58-I66-I63</f>
        <v>0</v>
      </c>
    </row>
    <row r="35" spans="1:17" ht="15" hidden="1" customHeight="1" x14ac:dyDescent="0.3">
      <c r="A35" s="140" t="str">
        <f>IF(A29="leden","únor",IF(A29="únor","březen",IF(A29="březen","duben",IF(A29="duben","květen",IF(A29="květen","červen",IF(A29="červen","červenec",IF(A29="červenec","srpen",IF(A29="srpen","září",IF(A29="září","říjen",IF(A29="říjen","listopad",IF(A29="listopad","prosinec","leden")))))))))))</f>
        <v>říjen</v>
      </c>
      <c r="B35" s="101" t="s">
        <v>10</v>
      </c>
      <c r="C35" s="122"/>
      <c r="D35" s="102"/>
      <c r="E35" s="170"/>
      <c r="F35" s="171"/>
      <c r="G35" s="171"/>
      <c r="H35" s="171"/>
      <c r="I35" s="171"/>
      <c r="J35" s="171"/>
      <c r="K35" s="171"/>
      <c r="L35" s="171"/>
      <c r="M35" s="171"/>
      <c r="N35" s="171"/>
      <c r="O35" s="172"/>
      <c r="P35" s="103"/>
    </row>
    <row r="36" spans="1:17" ht="15" hidden="1" customHeight="1" x14ac:dyDescent="0.3">
      <c r="A36" s="141"/>
      <c r="B36" s="101" t="s">
        <v>11</v>
      </c>
      <c r="C36" s="122"/>
      <c r="D36" s="102"/>
      <c r="E36" s="170"/>
      <c r="F36" s="171"/>
      <c r="G36" s="171"/>
      <c r="H36" s="171"/>
      <c r="I36" s="171"/>
      <c r="J36" s="171"/>
      <c r="K36" s="171"/>
      <c r="L36" s="171"/>
      <c r="M36" s="171"/>
      <c r="N36" s="171"/>
      <c r="O36" s="172"/>
      <c r="P36" s="103"/>
    </row>
    <row r="37" spans="1:17" ht="15" hidden="1" customHeight="1" x14ac:dyDescent="0.3">
      <c r="A37" s="141"/>
      <c r="B37" s="101" t="s">
        <v>12</v>
      </c>
      <c r="C37" s="122"/>
      <c r="D37" s="102"/>
      <c r="E37" s="170"/>
      <c r="F37" s="171"/>
      <c r="G37" s="171"/>
      <c r="H37" s="171"/>
      <c r="I37" s="171"/>
      <c r="J37" s="171"/>
      <c r="K37" s="171"/>
      <c r="L37" s="171"/>
      <c r="M37" s="171"/>
      <c r="N37" s="171"/>
      <c r="O37" s="172"/>
      <c r="P37" s="103"/>
    </row>
    <row r="38" spans="1:17" ht="15" hidden="1" customHeight="1" x14ac:dyDescent="0.3">
      <c r="A38" s="141"/>
      <c r="B38" s="101" t="s">
        <v>13</v>
      </c>
      <c r="C38" s="122"/>
      <c r="D38" s="102"/>
      <c r="E38" s="170"/>
      <c r="F38" s="171"/>
      <c r="G38" s="171"/>
      <c r="H38" s="171"/>
      <c r="I38" s="171"/>
      <c r="J38" s="171"/>
      <c r="K38" s="171"/>
      <c r="L38" s="171"/>
      <c r="M38" s="171"/>
      <c r="N38" s="171"/>
      <c r="O38" s="172"/>
      <c r="P38" s="103"/>
    </row>
    <row r="39" spans="1:17" ht="15" hidden="1" customHeight="1" x14ac:dyDescent="0.3">
      <c r="A39" s="142"/>
      <c r="B39" s="101" t="s">
        <v>14</v>
      </c>
      <c r="C39" s="122"/>
      <c r="D39" s="102"/>
      <c r="E39" s="170"/>
      <c r="F39" s="171"/>
      <c r="G39" s="171"/>
      <c r="H39" s="171"/>
      <c r="I39" s="171"/>
      <c r="J39" s="171"/>
      <c r="K39" s="171"/>
      <c r="L39" s="171"/>
      <c r="M39" s="171"/>
      <c r="N39" s="171"/>
      <c r="O39" s="172"/>
      <c r="P39" s="103"/>
    </row>
    <row r="40" spans="1:17" ht="17.25" hidden="1" thickBot="1" x14ac:dyDescent="0.35">
      <c r="A40" s="143"/>
      <c r="B40" s="134" t="s">
        <v>34</v>
      </c>
      <c r="C40" s="135"/>
      <c r="D40" s="135"/>
      <c r="E40" s="135"/>
      <c r="F40" s="135"/>
      <c r="G40" s="135"/>
      <c r="H40" s="135"/>
      <c r="I40" s="135"/>
      <c r="J40" s="135"/>
      <c r="K40" s="135"/>
      <c r="L40" s="135"/>
      <c r="M40" s="135"/>
      <c r="N40" s="135"/>
      <c r="O40" s="136"/>
      <c r="P40" s="118">
        <f>SUM(P35:P39)</f>
        <v>0</v>
      </c>
      <c r="Q40" s="119">
        <f>K58-K66-K63</f>
        <v>0</v>
      </c>
    </row>
    <row r="41" spans="1:17" ht="15" hidden="1" customHeight="1" x14ac:dyDescent="0.3">
      <c r="A41" s="140" t="str">
        <f>IF(A35="leden","únor",IF(A35="únor","březen",IF(A35="březen","duben",IF(A35="duben","květen",IF(A35="květen","červen",IF(A35="červen","červenec",IF(A35="červenec","srpen",IF(A35="srpen","září",IF(A35="září","říjen",IF(A35="říjen","listopad",IF(A35="listopad","prosinec","leden")))))))))))</f>
        <v>listopad</v>
      </c>
      <c r="B41" s="101" t="s">
        <v>10</v>
      </c>
      <c r="C41" s="122"/>
      <c r="D41" s="102"/>
      <c r="E41" s="170"/>
      <c r="F41" s="171"/>
      <c r="G41" s="171"/>
      <c r="H41" s="171"/>
      <c r="I41" s="171"/>
      <c r="J41" s="171"/>
      <c r="K41" s="171"/>
      <c r="L41" s="171"/>
      <c r="M41" s="171"/>
      <c r="N41" s="171"/>
      <c r="O41" s="172"/>
      <c r="P41" s="103"/>
    </row>
    <row r="42" spans="1:17" ht="15" hidden="1" customHeight="1" x14ac:dyDescent="0.3">
      <c r="A42" s="141"/>
      <c r="B42" s="101" t="s">
        <v>11</v>
      </c>
      <c r="C42" s="122"/>
      <c r="D42" s="102"/>
      <c r="E42" s="170"/>
      <c r="F42" s="171"/>
      <c r="G42" s="171"/>
      <c r="H42" s="171"/>
      <c r="I42" s="171"/>
      <c r="J42" s="171"/>
      <c r="K42" s="171"/>
      <c r="L42" s="171"/>
      <c r="M42" s="171"/>
      <c r="N42" s="171"/>
      <c r="O42" s="172"/>
      <c r="P42" s="103"/>
    </row>
    <row r="43" spans="1:17" ht="15" hidden="1" customHeight="1" x14ac:dyDescent="0.3">
      <c r="A43" s="141"/>
      <c r="B43" s="101" t="s">
        <v>12</v>
      </c>
      <c r="C43" s="122"/>
      <c r="D43" s="102"/>
      <c r="E43" s="170"/>
      <c r="F43" s="171"/>
      <c r="G43" s="171"/>
      <c r="H43" s="171"/>
      <c r="I43" s="171"/>
      <c r="J43" s="171"/>
      <c r="K43" s="171"/>
      <c r="L43" s="171"/>
      <c r="M43" s="171"/>
      <c r="N43" s="171"/>
      <c r="O43" s="172"/>
      <c r="P43" s="103"/>
    </row>
    <row r="44" spans="1:17" ht="15" hidden="1" customHeight="1" x14ac:dyDescent="0.3">
      <c r="A44" s="141"/>
      <c r="B44" s="101" t="s">
        <v>13</v>
      </c>
      <c r="C44" s="122"/>
      <c r="D44" s="102"/>
      <c r="E44" s="170"/>
      <c r="F44" s="171"/>
      <c r="G44" s="171"/>
      <c r="H44" s="171"/>
      <c r="I44" s="171"/>
      <c r="J44" s="171"/>
      <c r="K44" s="171"/>
      <c r="L44" s="171"/>
      <c r="M44" s="171"/>
      <c r="N44" s="171"/>
      <c r="O44" s="172"/>
      <c r="P44" s="103"/>
    </row>
    <row r="45" spans="1:17" ht="15" hidden="1" customHeight="1" x14ac:dyDescent="0.3">
      <c r="A45" s="142"/>
      <c r="B45" s="101" t="s">
        <v>14</v>
      </c>
      <c r="C45" s="122"/>
      <c r="D45" s="102"/>
      <c r="E45" s="170"/>
      <c r="F45" s="171"/>
      <c r="G45" s="171"/>
      <c r="H45" s="171"/>
      <c r="I45" s="171"/>
      <c r="J45" s="171"/>
      <c r="K45" s="171"/>
      <c r="L45" s="171"/>
      <c r="M45" s="171"/>
      <c r="N45" s="171"/>
      <c r="O45" s="172"/>
      <c r="P45" s="103"/>
    </row>
    <row r="46" spans="1:17" ht="17.25" hidden="1" thickBot="1" x14ac:dyDescent="0.35">
      <c r="A46" s="143"/>
      <c r="B46" s="134" t="s">
        <v>34</v>
      </c>
      <c r="C46" s="135"/>
      <c r="D46" s="135"/>
      <c r="E46" s="135"/>
      <c r="F46" s="135"/>
      <c r="G46" s="135"/>
      <c r="H46" s="135"/>
      <c r="I46" s="135"/>
      <c r="J46" s="135"/>
      <c r="K46" s="135"/>
      <c r="L46" s="135"/>
      <c r="M46" s="135"/>
      <c r="N46" s="135"/>
      <c r="O46" s="136"/>
      <c r="P46" s="118">
        <f>SUM(P41:P45)</f>
        <v>0</v>
      </c>
      <c r="Q46" s="119">
        <f>M58-M66-M63</f>
        <v>0</v>
      </c>
    </row>
    <row r="47" spans="1:17" ht="15" hidden="1" customHeight="1" x14ac:dyDescent="0.3">
      <c r="A47" s="140" t="str">
        <f>IF(A41="leden","únor",IF(A41="únor","březen",IF(A41="březen","duben",IF(A41="duben","květen",IF(A41="květen","červen",IF(A41="červen","červenec",IF(A41="červenec","srpen",IF(A41="srpen","září",IF(A41="září","říjen",IF(A41="říjen","listopad",IF(A41="listopad","prosinec","leden")))))))))))</f>
        <v>prosinec</v>
      </c>
      <c r="B47" s="101" t="s">
        <v>10</v>
      </c>
      <c r="C47" s="122"/>
      <c r="D47" s="102"/>
      <c r="E47" s="170"/>
      <c r="F47" s="171"/>
      <c r="G47" s="171"/>
      <c r="H47" s="171"/>
      <c r="I47" s="171"/>
      <c r="J47" s="171"/>
      <c r="K47" s="171"/>
      <c r="L47" s="171"/>
      <c r="M47" s="171"/>
      <c r="N47" s="171"/>
      <c r="O47" s="172"/>
      <c r="P47" s="103"/>
    </row>
    <row r="48" spans="1:17" ht="15" hidden="1" customHeight="1" x14ac:dyDescent="0.3">
      <c r="A48" s="141"/>
      <c r="B48" s="101" t="s">
        <v>11</v>
      </c>
      <c r="C48" s="122"/>
      <c r="D48" s="102"/>
      <c r="E48" s="170"/>
      <c r="F48" s="171"/>
      <c r="G48" s="171"/>
      <c r="H48" s="171"/>
      <c r="I48" s="171"/>
      <c r="J48" s="171"/>
      <c r="K48" s="171"/>
      <c r="L48" s="171"/>
      <c r="M48" s="171"/>
      <c r="N48" s="171"/>
      <c r="O48" s="172"/>
      <c r="P48" s="103"/>
    </row>
    <row r="49" spans="1:18" ht="15" hidden="1" customHeight="1" x14ac:dyDescent="0.3">
      <c r="A49" s="141"/>
      <c r="B49" s="101" t="s">
        <v>12</v>
      </c>
      <c r="C49" s="122"/>
      <c r="D49" s="102"/>
      <c r="E49" s="170"/>
      <c r="F49" s="171"/>
      <c r="G49" s="171"/>
      <c r="H49" s="171"/>
      <c r="I49" s="171"/>
      <c r="J49" s="171"/>
      <c r="K49" s="171"/>
      <c r="L49" s="171"/>
      <c r="M49" s="171"/>
      <c r="N49" s="171"/>
      <c r="O49" s="172"/>
      <c r="P49" s="103"/>
    </row>
    <row r="50" spans="1:18" ht="15" hidden="1" customHeight="1" x14ac:dyDescent="0.3">
      <c r="A50" s="141"/>
      <c r="B50" s="101" t="s">
        <v>13</v>
      </c>
      <c r="C50" s="122"/>
      <c r="D50" s="102"/>
      <c r="E50" s="170"/>
      <c r="F50" s="171"/>
      <c r="G50" s="171"/>
      <c r="H50" s="171"/>
      <c r="I50" s="171"/>
      <c r="J50" s="171"/>
      <c r="K50" s="171"/>
      <c r="L50" s="171"/>
      <c r="M50" s="171"/>
      <c r="N50" s="171"/>
      <c r="O50" s="172"/>
      <c r="P50" s="103"/>
    </row>
    <row r="51" spans="1:18" ht="15" hidden="1" customHeight="1" x14ac:dyDescent="0.3">
      <c r="A51" s="142"/>
      <c r="B51" s="101" t="s">
        <v>14</v>
      </c>
      <c r="C51" s="122"/>
      <c r="D51" s="102"/>
      <c r="E51" s="170"/>
      <c r="F51" s="171"/>
      <c r="G51" s="171"/>
      <c r="H51" s="171"/>
      <c r="I51" s="171"/>
      <c r="J51" s="171"/>
      <c r="K51" s="171"/>
      <c r="L51" s="171"/>
      <c r="M51" s="171"/>
      <c r="N51" s="171"/>
      <c r="O51" s="172"/>
      <c r="P51" s="103"/>
    </row>
    <row r="52" spans="1:18" ht="17.25" hidden="1" thickBot="1" x14ac:dyDescent="0.35">
      <c r="A52" s="143"/>
      <c r="B52" s="134" t="s">
        <v>34</v>
      </c>
      <c r="C52" s="135"/>
      <c r="D52" s="135"/>
      <c r="E52" s="135"/>
      <c r="F52" s="135"/>
      <c r="G52" s="135"/>
      <c r="H52" s="135"/>
      <c r="I52" s="135"/>
      <c r="J52" s="135"/>
      <c r="K52" s="135"/>
      <c r="L52" s="135"/>
      <c r="M52" s="135"/>
      <c r="N52" s="135"/>
      <c r="O52" s="136"/>
      <c r="P52" s="118">
        <f>SUM(P47:P51)</f>
        <v>0</v>
      </c>
      <c r="Q52" s="119">
        <f>O58-O66-O63</f>
        <v>0</v>
      </c>
    </row>
    <row r="53" spans="1:18" ht="7.5" customHeight="1" thickBot="1" x14ac:dyDescent="0.35">
      <c r="A53" s="104"/>
      <c r="B53" s="104"/>
      <c r="C53" s="104"/>
      <c r="D53" s="104"/>
      <c r="E53" s="104"/>
      <c r="F53" s="104"/>
      <c r="G53" s="104"/>
      <c r="H53" s="104"/>
      <c r="I53" s="104"/>
      <c r="J53" s="105"/>
      <c r="K53" s="106"/>
      <c r="L53" s="106"/>
      <c r="M53" s="92"/>
      <c r="N53" s="92"/>
      <c r="O53" s="92"/>
      <c r="P53" s="107"/>
    </row>
    <row r="54" spans="1:18" ht="15" customHeight="1" thickBot="1" x14ac:dyDescent="0.35">
      <c r="A54" s="204" t="s">
        <v>633</v>
      </c>
      <c r="B54" s="205"/>
      <c r="C54" s="205"/>
      <c r="D54" s="205"/>
      <c r="E54" s="205"/>
      <c r="F54" s="205"/>
      <c r="G54" s="205"/>
      <c r="H54" s="205"/>
      <c r="I54" s="205"/>
      <c r="J54" s="205"/>
      <c r="K54" s="205"/>
      <c r="L54" s="205"/>
      <c r="M54" s="205"/>
      <c r="N54" s="205"/>
      <c r="O54" s="206"/>
      <c r="P54" s="108">
        <f>SUM(P22,P28,P34,P40,P46,P52)</f>
        <v>60.8</v>
      </c>
    </row>
    <row r="55" spans="1:18" ht="7.5" customHeight="1" thickBot="1" x14ac:dyDescent="0.35">
      <c r="A55" s="92"/>
      <c r="B55" s="92"/>
      <c r="C55" s="92"/>
      <c r="D55" s="92"/>
      <c r="E55" s="137">
        <f>E8</f>
        <v>43282</v>
      </c>
      <c r="F55" s="137"/>
      <c r="G55" s="137">
        <f>EDATE(E55,1)</f>
        <v>43313</v>
      </c>
      <c r="H55" s="137"/>
      <c r="I55" s="137">
        <f>EDATE(G55,1)</f>
        <v>43344</v>
      </c>
      <c r="J55" s="137"/>
      <c r="K55" s="137">
        <f t="shared" ref="K55" si="3">EDATE(I55,1)</f>
        <v>43374</v>
      </c>
      <c r="L55" s="137"/>
      <c r="M55" s="137">
        <f t="shared" ref="M55" si="4">EDATE(K55,1)</f>
        <v>43405</v>
      </c>
      <c r="N55" s="137"/>
      <c r="O55" s="137">
        <f t="shared" ref="O55" si="5">EDATE(M55,1)</f>
        <v>43435</v>
      </c>
      <c r="P55" s="137"/>
    </row>
    <row r="56" spans="1:18" ht="15" customHeight="1" x14ac:dyDescent="0.3">
      <c r="A56" s="217" t="s">
        <v>631</v>
      </c>
      <c r="B56" s="218"/>
      <c r="C56" s="218"/>
      <c r="D56" s="219"/>
      <c r="E56" s="225" t="str">
        <f>IF(MONTH(E8)=1,"leden",IF(MONTH(E8)=2,"únor",IF(MONTH(E8)=3, "březen",IF(MONTH(E8)=4,"duben",IF(MONTH(E8)=5,"květen",IF(MONTH(E8)=6,"červen",IF(MONTH(E8)=7,"červenec",IF(MONTH(E8)=8,"srpen",IF(MONTH(E8)=9,"září",IF(MONTH(E8)=10,"říjen",IF(MONTH(E8)=11,"listopad","prosinec")))))))))))</f>
        <v>červenec</v>
      </c>
      <c r="F56" s="226" t="e">
        <f>#VALUE!</f>
        <v>#VALUE!</v>
      </c>
      <c r="G56" s="200" t="str">
        <f>IF(E56="leden","únor",IF(E56="únor","březen",IF(E56="březen","duben",IF(E56="duben","květen",IF(E56="květen","červen",IF(E56="červen","červenec",IF(E56="červenec","srpen",IF(E56="srpen","září",IF(E56="září","říjen",IF(E56="říjen","listopad",IF(E56="listopad","prosinec","leden" )))))))))))</f>
        <v>srpen</v>
      </c>
      <c r="H56" s="201"/>
      <c r="I56" s="200" t="str">
        <f>IF(G56="leden","únor",IF(G56="únor","březen",IF(G56="březen","duben",IF(G56="duben","květen",IF(G56="květen","červen",IF(G56="červen","červenec",IF(G56="červenec","srpen",IF(G56="srpen","září",IF(G56="září","říjen",IF(G56="říjen","listopad",IF(G56="listopad","prosinec","leden" )))))))))))</f>
        <v>září</v>
      </c>
      <c r="J56" s="201"/>
      <c r="K56" s="202" t="str">
        <f t="shared" ref="K56" si="6">IF(I56="leden","únor",IF(I56="únor","březen",IF(I56="březen","duben",IF(I56="duben","květen",IF(I56="květen","červen",IF(I56="červen","červenec",IF(I56="červenec","srpen",IF(I56="srpen","září",IF(I56="září","říjen",IF(I56="říjen","listopad",IF(I56="listopad","prosinec","leden" )))))))))))</f>
        <v>říjen</v>
      </c>
      <c r="L56" s="203"/>
      <c r="M56" s="202" t="str">
        <f t="shared" ref="M56" si="7">IF(K56="leden","únor",IF(K56="únor","březen",IF(K56="březen","duben",IF(K56="duben","květen",IF(K56="květen","červen",IF(K56="červen","červenec",IF(K56="červenec","srpen",IF(K56="srpen","září",IF(K56="září","říjen",IF(K56="říjen","listopad",IF(K56="listopad","prosinec","leden" )))))))))))</f>
        <v>listopad</v>
      </c>
      <c r="N56" s="203"/>
      <c r="O56" s="202" t="str">
        <f t="shared" ref="O56" si="8">IF(M56="leden","únor",IF(M56="únor","březen",IF(M56="březen","duben",IF(M56="duben","květen",IF(M56="květen","červen",IF(M56="červen","červenec",IF(M56="červenec","srpen",IF(M56="srpen","září",IF(M56="září","říjen",IF(M56="říjen","listopad",IF(M56="listopad","prosinec","leden" )))))))))))</f>
        <v>prosinec</v>
      </c>
      <c r="P56" s="203"/>
    </row>
    <row r="57" spans="1:18" ht="15" customHeight="1" x14ac:dyDescent="0.3">
      <c r="A57" s="220"/>
      <c r="B57" s="221"/>
      <c r="C57" s="221"/>
      <c r="D57" s="222"/>
      <c r="E57" s="223">
        <f>IF(YEAR(E55)=2017,VLOOKUP(E56,ZDROJE!$CS$2:$CY$14,2,0),
IF(YEAR(E55)=2018,VLOOKUP(E56,ZDROJE!$CS$2:$CY$14,3,0),
IF(YEAR(E55)=2019,VLOOKUP(E56,ZDROJE!$CS$2:$CY$14,4,0),
IF(YEAR(E55)=2020,VLOOKUP(E56,ZDROJE!$CS$2:$CY$14,5,0),
IF(YEAR(E55)=2021,VLOOKUP(E56,ZDROJE!$CS$2:$CY$14,6,0),
IF(YEAR(E55)=2022,VLOOKUP(E56,ZDROJE!$CS$2:$CY$14,7,0),0))))))</f>
        <v>176</v>
      </c>
      <c r="F57" s="224"/>
      <c r="G57" s="223">
        <f>IF(YEAR(G55)=2017,VLOOKUP(G56,ZDROJE!$CS$2:$CY$14,2,0),
IF(YEAR(G55)=2018,VLOOKUP(G56,ZDROJE!$CS$2:$CY$14,3,0),
IF(YEAR(G55)=2019,VLOOKUP(G56,ZDROJE!$CS$2:$CY$14,4,0),
IF(YEAR(G55)=2020,VLOOKUP(G56,ZDROJE!$CS$2:$CY$14,5,0),
IF(YEAR(G55)=2021,VLOOKUP(G56,ZDROJE!$CS$2:$CY$14,6,0),
IF(YEAR(G55)=2022,VLOOKUP(G56,ZDROJE!$CS$2:$CY$14,7,0),0))))))</f>
        <v>184</v>
      </c>
      <c r="H57" s="224"/>
      <c r="I57" s="223">
        <f>IF(YEAR(I55)=2017,VLOOKUP(I56,ZDROJE!$CS$2:$CY$14,2,0),
IF(YEAR(I55)=2018,VLOOKUP(I56,ZDROJE!$CS$2:$CY$14,3,0),
IF(YEAR(I55)=2019,VLOOKUP(I56,ZDROJE!$CS$2:$CY$14,4,0),
IF(YEAR(I55)=2020,VLOOKUP(I56,ZDROJE!$CS$2:$CY$14,5,0),
IF(YEAR(I55)=2021,VLOOKUP(I56,ZDROJE!$CS$2:$CY$14,6,0),
IF(YEAR(I55)=2022,VLOOKUP(I56,ZDROJE!$CS$2:$CY$14,7,0),0))))))</f>
        <v>160</v>
      </c>
      <c r="J57" s="224"/>
      <c r="K57" s="138">
        <f>IF(YEAR(K55)=2017,VLOOKUP(K56,ZDROJE!$CS$2:$CY$14,2,0),
IF(YEAR(K55)=2018,VLOOKUP(K56,ZDROJE!$CS$2:$CY$14,3,0),
IF(YEAR(K55)=2019,VLOOKUP(K56,ZDROJE!$CS$2:$CY$14,4,0),
IF(YEAR(K55)=2020,VLOOKUP(K56,ZDROJE!$CS$2:$CY$14,5,0),
IF(YEAR(K55)=2021,VLOOKUP(K56,ZDROJE!$CS$2:$CY$14,6,0),
IF(YEAR(K55)=2022,VLOOKUP(K56,ZDROJE!$CS$2:$CY$14,7,0),0))))))</f>
        <v>184</v>
      </c>
      <c r="L57" s="139"/>
      <c r="M57" s="138">
        <f>IF(YEAR(M55)=2017,VLOOKUP(M56,ZDROJE!$CS$2:$CY$14,2,0),
IF(YEAR(M55)=2018,VLOOKUP(M56,ZDROJE!$CS$2:$CY$14,3,0),
IF(YEAR(M55)=2019,VLOOKUP(M56,ZDROJE!$CS$2:$CY$14,4,0),
IF(YEAR(M55)=2020,VLOOKUP(M56,ZDROJE!$CS$2:$CY$14,5,0),
IF(YEAR(M55)=2021,VLOOKUP(M56,ZDROJE!$CS$2:$CY$14,6,0),
IF(YEAR(M55)=2022,VLOOKUP(M56,ZDROJE!$CS$2:$CY$14,7,0),0))))))</f>
        <v>176</v>
      </c>
      <c r="N57" s="139"/>
      <c r="O57" s="138">
        <f>IF(YEAR(O55)=2017,VLOOKUP(O56,ZDROJE!$CS$2:$CY$14,2,0),
IF(YEAR(O55)=2018,VLOOKUP(O56,ZDROJE!$CS$2:$CY$14,3,0),
IF(YEAR(O55)=2019,VLOOKUP(O56,ZDROJE!$CS$2:$CY$14,4,0),
IF(YEAR(O55)=2020,VLOOKUP(O56,ZDROJE!$CS$2:$CY$14,5,0),
IF(YEAR(O55)=2021,VLOOKUP(O56,ZDROJE!$CS$2:$CY$14,6,0),
IF(YEAR(O55)=2022,VLOOKUP(O56,ZDROJE!$CS$2:$CY$14,7,0),0))))))</f>
        <v>168</v>
      </c>
      <c r="P57" s="139"/>
    </row>
    <row r="58" spans="1:18" ht="15" customHeight="1" x14ac:dyDescent="0.3">
      <c r="A58" s="227" t="s">
        <v>632</v>
      </c>
      <c r="B58" s="228"/>
      <c r="C58" s="228"/>
      <c r="D58" s="229"/>
      <c r="E58" s="230">
        <f>ROUND(E57*E11,2)</f>
        <v>35.200000000000003</v>
      </c>
      <c r="F58" s="231"/>
      <c r="G58" s="230">
        <f>ROUND(G57*G11,2)</f>
        <v>36.799999999999997</v>
      </c>
      <c r="H58" s="231"/>
      <c r="I58" s="230">
        <f t="shared" ref="I58" si="9">ROUND(I57*I11,2)</f>
        <v>32</v>
      </c>
      <c r="J58" s="231"/>
      <c r="K58" s="232">
        <f t="shared" ref="K58" si="10">ROUND(K57*K11,2)</f>
        <v>0</v>
      </c>
      <c r="L58" s="233"/>
      <c r="M58" s="232">
        <f t="shared" ref="M58" si="11">ROUND(M57*M11,2)</f>
        <v>0</v>
      </c>
      <c r="N58" s="233"/>
      <c r="O58" s="232">
        <f t="shared" ref="O58" si="12">ROUND(O57*O11,2)</f>
        <v>0</v>
      </c>
      <c r="P58" s="233"/>
    </row>
    <row r="59" spans="1:18" ht="25.5" customHeight="1" x14ac:dyDescent="0.3">
      <c r="A59" s="126" t="s">
        <v>36</v>
      </c>
      <c r="B59" s="127"/>
      <c r="C59" s="127"/>
      <c r="D59" s="128"/>
      <c r="E59" s="187">
        <f>P22</f>
        <v>16</v>
      </c>
      <c r="F59" s="188"/>
      <c r="G59" s="187">
        <f>P28</f>
        <v>14.4</v>
      </c>
      <c r="H59" s="188"/>
      <c r="I59" s="187">
        <f>P34</f>
        <v>30.4</v>
      </c>
      <c r="J59" s="188"/>
      <c r="K59" s="185">
        <f>P40</f>
        <v>0</v>
      </c>
      <c r="L59" s="186"/>
      <c r="M59" s="185">
        <f>P46</f>
        <v>0</v>
      </c>
      <c r="N59" s="186"/>
      <c r="O59" s="185">
        <f>P52</f>
        <v>0</v>
      </c>
      <c r="P59" s="186"/>
      <c r="R59" s="119"/>
    </row>
    <row r="60" spans="1:18" ht="25.5" customHeight="1" x14ac:dyDescent="0.3">
      <c r="A60" s="126" t="s">
        <v>24</v>
      </c>
      <c r="B60" s="127"/>
      <c r="C60" s="127"/>
      <c r="D60" s="216"/>
      <c r="E60" s="166"/>
      <c r="F60" s="167"/>
      <c r="G60" s="166"/>
      <c r="H60" s="167"/>
      <c r="I60" s="166"/>
      <c r="J60" s="167"/>
      <c r="K60" s="185"/>
      <c r="L60" s="186"/>
      <c r="M60" s="185"/>
      <c r="N60" s="186"/>
      <c r="O60" s="185"/>
      <c r="P60" s="186"/>
    </row>
    <row r="61" spans="1:18" ht="25.5" customHeight="1" x14ac:dyDescent="0.3">
      <c r="A61" s="126" t="s">
        <v>39</v>
      </c>
      <c r="B61" s="127"/>
      <c r="C61" s="127"/>
      <c r="D61" s="128"/>
      <c r="E61" s="129">
        <v>16</v>
      </c>
      <c r="F61" s="130"/>
      <c r="G61" s="129">
        <v>22.4</v>
      </c>
      <c r="H61" s="130"/>
      <c r="I61" s="129"/>
      <c r="J61" s="130"/>
      <c r="K61" s="124"/>
      <c r="L61" s="125"/>
      <c r="M61" s="124"/>
      <c r="N61" s="125"/>
      <c r="O61" s="124"/>
      <c r="P61" s="125"/>
    </row>
    <row r="62" spans="1:18" ht="25.5" customHeight="1" x14ac:dyDescent="0.3">
      <c r="A62" s="126" t="s">
        <v>37</v>
      </c>
      <c r="B62" s="127"/>
      <c r="C62" s="127"/>
      <c r="D62" s="128"/>
      <c r="E62" s="129"/>
      <c r="F62" s="130"/>
      <c r="G62" s="129"/>
      <c r="H62" s="130"/>
      <c r="I62" s="129"/>
      <c r="J62" s="130"/>
      <c r="K62" s="124"/>
      <c r="L62" s="125"/>
      <c r="M62" s="124"/>
      <c r="N62" s="125"/>
      <c r="O62" s="124"/>
      <c r="P62" s="125"/>
    </row>
    <row r="63" spans="1:18" ht="25.5" customHeight="1" x14ac:dyDescent="0.3">
      <c r="A63" s="126" t="s">
        <v>634</v>
      </c>
      <c r="B63" s="127"/>
      <c r="C63" s="127"/>
      <c r="D63" s="128"/>
      <c r="E63" s="129"/>
      <c r="F63" s="130"/>
      <c r="G63" s="129"/>
      <c r="H63" s="130"/>
      <c r="I63" s="129"/>
      <c r="J63" s="130"/>
      <c r="K63" s="124"/>
      <c r="L63" s="125"/>
      <c r="M63" s="124"/>
      <c r="N63" s="125"/>
      <c r="O63" s="124"/>
      <c r="P63" s="125"/>
    </row>
    <row r="64" spans="1:18" ht="25.5" customHeight="1" x14ac:dyDescent="0.3">
      <c r="A64" s="126" t="s">
        <v>42</v>
      </c>
      <c r="B64" s="127"/>
      <c r="C64" s="127"/>
      <c r="D64" s="128"/>
      <c r="E64" s="129"/>
      <c r="F64" s="130"/>
      <c r="G64" s="129"/>
      <c r="H64" s="130"/>
      <c r="I64" s="129"/>
      <c r="J64" s="130"/>
      <c r="K64" s="124"/>
      <c r="L64" s="125"/>
      <c r="M64" s="124"/>
      <c r="N64" s="125"/>
      <c r="O64" s="124"/>
      <c r="P64" s="125"/>
    </row>
    <row r="65" spans="1:16" ht="25.5" customHeight="1" thickBot="1" x14ac:dyDescent="0.35">
      <c r="A65" s="213" t="s">
        <v>38</v>
      </c>
      <c r="B65" s="214"/>
      <c r="C65" s="214"/>
      <c r="D65" s="215"/>
      <c r="E65" s="306">
        <v>3.2</v>
      </c>
      <c r="F65" s="307"/>
      <c r="G65" s="306"/>
      <c r="H65" s="307"/>
      <c r="I65" s="306">
        <v>1.6</v>
      </c>
      <c r="J65" s="307"/>
      <c r="K65" s="308"/>
      <c r="L65" s="309"/>
      <c r="M65" s="308"/>
      <c r="N65" s="309"/>
      <c r="O65" s="308"/>
      <c r="P65" s="309"/>
    </row>
    <row r="66" spans="1:16" ht="25.5" customHeight="1" thickBot="1" x14ac:dyDescent="0.35">
      <c r="A66" s="152" t="s">
        <v>40</v>
      </c>
      <c r="B66" s="153"/>
      <c r="C66" s="153"/>
      <c r="D66" s="154"/>
      <c r="E66" s="155">
        <f>ROUND(SUM(E59,E61,E62,E64,E65),2)</f>
        <v>35.200000000000003</v>
      </c>
      <c r="F66" s="156"/>
      <c r="G66" s="155">
        <f>ROUND(SUM(G59,G61,G62,G64,G65),2)</f>
        <v>36.799999999999997</v>
      </c>
      <c r="H66" s="156"/>
      <c r="I66" s="155">
        <f t="shared" ref="I66" si="13">ROUND(SUM(I59,I61,I62,I64,I65),2)</f>
        <v>32</v>
      </c>
      <c r="J66" s="156"/>
      <c r="K66" s="163">
        <f t="shared" ref="K66" si="14">ROUND(SUM(K59,K61,K62,K64,K65),2)</f>
        <v>0</v>
      </c>
      <c r="L66" s="164"/>
      <c r="M66" s="163">
        <f t="shared" ref="M66" si="15">ROUND(SUM(M59,M61,M62,M64,M65),2)</f>
        <v>0</v>
      </c>
      <c r="N66" s="164"/>
      <c r="O66" s="163">
        <f t="shared" ref="O66" si="16">ROUND(SUM(O59,O61,O62,O64,O65),2)</f>
        <v>0</v>
      </c>
      <c r="P66" s="164"/>
    </row>
    <row r="67" spans="1:16" ht="17.25" thickBot="1" x14ac:dyDescent="0.35">
      <c r="A67" s="157" t="s">
        <v>630</v>
      </c>
      <c r="B67" s="158"/>
      <c r="C67" s="158"/>
      <c r="D67" s="158"/>
      <c r="E67" s="304" t="str">
        <f>IF(E11="","nevyplněn úvazek",(IF(E58=E68,"správně","chyba")))</f>
        <v>správně</v>
      </c>
      <c r="F67" s="305"/>
      <c r="G67" s="304" t="str">
        <f>IF(G11="","nevyplněn úvazek",(IF(G58=G68,"správně","chyba")))</f>
        <v>správně</v>
      </c>
      <c r="H67" s="305"/>
      <c r="I67" s="304" t="str">
        <f t="shared" ref="I67" si="17">IF(I11="","nevyplněn úvazek",(IF(I58=I68,"správně","chyba")))</f>
        <v>správně</v>
      </c>
      <c r="J67" s="305"/>
      <c r="K67" s="304" t="str">
        <f t="shared" ref="K67" si="18">IF(K11="","nevyplněn úvazek",(IF(K58=K68,"správně","chyba")))</f>
        <v>nevyplněn úvazek</v>
      </c>
      <c r="L67" s="305"/>
      <c r="M67" s="304" t="str">
        <f t="shared" ref="M67" si="19">IF(M11="","nevyplněn úvazek",(IF(M58=M68,"správně","chyba")))</f>
        <v>nevyplněn úvazek</v>
      </c>
      <c r="N67" s="305"/>
      <c r="O67" s="304" t="str">
        <f t="shared" ref="O67" si="20">IF(O11="","nevyplněn úvazek",(IF(O58=O68,"správně","chyba")))</f>
        <v>nevyplněn úvazek</v>
      </c>
      <c r="P67" s="305"/>
    </row>
    <row r="68" spans="1:16" ht="7.5" customHeight="1" x14ac:dyDescent="0.3">
      <c r="A68" s="109"/>
      <c r="B68" s="109"/>
      <c r="C68" s="109"/>
      <c r="D68" s="109"/>
      <c r="E68" s="165">
        <f>ROUND(E66+E63,2)</f>
        <v>35.200000000000003</v>
      </c>
      <c r="F68" s="165"/>
      <c r="G68" s="165">
        <f>ROUND(G66+G63,2)</f>
        <v>36.799999999999997</v>
      </c>
      <c r="H68" s="165"/>
      <c r="I68" s="165">
        <f t="shared" ref="I68" si="21">ROUND(I66+I63,2)</f>
        <v>32</v>
      </c>
      <c r="J68" s="165"/>
      <c r="K68" s="165">
        <f t="shared" ref="K68" si="22">ROUND(K66+K63,2)</f>
        <v>0</v>
      </c>
      <c r="L68" s="165"/>
      <c r="M68" s="165">
        <f t="shared" ref="M68" si="23">ROUND(M66+M63,2)</f>
        <v>0</v>
      </c>
      <c r="N68" s="165"/>
      <c r="O68" s="165">
        <f t="shared" ref="O68" si="24">ROUND(O66+O63,2)</f>
        <v>0</v>
      </c>
      <c r="P68" s="165"/>
    </row>
    <row r="69" spans="1:16" ht="15.75" customHeight="1" x14ac:dyDescent="0.3">
      <c r="A69" s="147" t="s">
        <v>41</v>
      </c>
      <c r="B69" s="148"/>
      <c r="C69" s="110"/>
      <c r="D69" s="92"/>
      <c r="E69" s="92"/>
      <c r="F69" s="97"/>
      <c r="G69" s="111"/>
      <c r="H69" s="97"/>
      <c r="I69" s="92"/>
      <c r="J69" s="92"/>
      <c r="K69" s="92"/>
      <c r="L69" s="92"/>
      <c r="M69" s="92"/>
      <c r="N69" s="92"/>
      <c r="O69" s="92"/>
      <c r="P69" s="92"/>
    </row>
    <row r="70" spans="1:16" ht="15.75" customHeight="1" x14ac:dyDescent="0.3">
      <c r="A70" s="146"/>
      <c r="B70" s="146"/>
      <c r="C70" s="146"/>
      <c r="D70" s="146"/>
      <c r="E70" s="146"/>
      <c r="F70" s="146"/>
      <c r="G70" s="146"/>
      <c r="H70" s="146"/>
      <c r="I70" s="146"/>
      <c r="J70" s="146"/>
      <c r="K70" s="146"/>
      <c r="L70" s="146"/>
      <c r="M70" s="146"/>
      <c r="N70" s="146"/>
      <c r="O70" s="146"/>
      <c r="P70" s="146"/>
    </row>
    <row r="71" spans="1:16" x14ac:dyDescent="0.3">
      <c r="A71" s="110" t="s">
        <v>17</v>
      </c>
      <c r="B71" s="110"/>
      <c r="C71" s="110"/>
      <c r="D71" s="92"/>
      <c r="E71" s="92"/>
      <c r="F71" s="97"/>
      <c r="G71" s="111"/>
      <c r="H71" s="97"/>
      <c r="I71" s="92"/>
      <c r="J71" s="92"/>
      <c r="K71" s="92"/>
      <c r="L71" s="92"/>
      <c r="M71" s="92"/>
      <c r="N71" s="92"/>
      <c r="O71" s="92"/>
      <c r="P71" s="92"/>
    </row>
    <row r="72" spans="1:16" x14ac:dyDescent="0.3">
      <c r="A72" s="159" t="s">
        <v>625</v>
      </c>
      <c r="B72" s="159"/>
      <c r="C72" s="159"/>
      <c r="D72" s="159"/>
      <c r="E72" s="159"/>
      <c r="F72" s="159"/>
      <c r="G72" s="159"/>
      <c r="H72" s="159"/>
      <c r="I72" s="159"/>
      <c r="J72" s="159"/>
      <c r="K72" s="159"/>
      <c r="L72" s="159"/>
      <c r="M72" s="159"/>
      <c r="N72" s="159"/>
      <c r="O72" s="159"/>
      <c r="P72" s="159"/>
    </row>
    <row r="73" spans="1:16" ht="16.5" customHeight="1" thickBot="1" x14ac:dyDescent="0.35">
      <c r="A73" s="112"/>
      <c r="B73" s="112"/>
      <c r="C73" s="112"/>
      <c r="D73" s="112"/>
      <c r="E73" s="112"/>
      <c r="F73" s="112"/>
      <c r="G73" s="112"/>
      <c r="H73" s="112"/>
      <c r="I73" s="112"/>
      <c r="J73" s="112"/>
      <c r="K73" s="92"/>
      <c r="L73" s="92"/>
      <c r="M73" s="92"/>
      <c r="N73" s="92"/>
      <c r="O73" s="92"/>
      <c r="P73" s="92"/>
    </row>
    <row r="74" spans="1:16" ht="15.75" customHeight="1" thickBot="1" x14ac:dyDescent="0.35">
      <c r="A74" s="112"/>
      <c r="B74" s="112"/>
      <c r="C74" s="112"/>
      <c r="D74" s="112"/>
      <c r="E74" s="112"/>
      <c r="F74" s="112"/>
      <c r="G74" s="209" t="s">
        <v>15</v>
      </c>
      <c r="H74" s="151"/>
      <c r="I74" s="151" t="s">
        <v>25</v>
      </c>
      <c r="J74" s="151"/>
      <c r="K74" s="162"/>
      <c r="L74" s="151" t="s">
        <v>26</v>
      </c>
      <c r="M74" s="151"/>
      <c r="N74" s="151" t="s">
        <v>27</v>
      </c>
      <c r="O74" s="151"/>
      <c r="P74" s="161"/>
    </row>
    <row r="75" spans="1:16" ht="27.75" customHeight="1" x14ac:dyDescent="0.3">
      <c r="A75" s="113"/>
      <c r="B75" s="113"/>
      <c r="C75" s="113"/>
      <c r="D75" s="113"/>
      <c r="E75" s="149" t="s">
        <v>28</v>
      </c>
      <c r="F75" s="150"/>
      <c r="G75" s="193"/>
      <c r="H75" s="194"/>
      <c r="I75" s="173" t="str">
        <f>E6</f>
        <v>Jiří Alina</v>
      </c>
      <c r="J75" s="175"/>
      <c r="K75" s="175"/>
      <c r="L75" s="173" t="str">
        <f>E7</f>
        <v>Odborný řešitel - odborný asistent 2</v>
      </c>
      <c r="M75" s="173"/>
      <c r="N75" s="173"/>
      <c r="O75" s="173"/>
      <c r="P75" s="174"/>
    </row>
    <row r="76" spans="1:16" ht="29.25" customHeight="1" thickBot="1" x14ac:dyDescent="0.35">
      <c r="A76" s="112" t="s">
        <v>18</v>
      </c>
      <c r="B76" s="114"/>
      <c r="C76" s="114"/>
      <c r="D76" s="114"/>
      <c r="E76" s="207" t="s">
        <v>29</v>
      </c>
      <c r="F76" s="208"/>
      <c r="G76" s="195"/>
      <c r="H76" s="192"/>
      <c r="I76" s="160"/>
      <c r="J76" s="192"/>
      <c r="K76" s="192"/>
      <c r="L76" s="160"/>
      <c r="M76" s="160"/>
      <c r="N76" s="144"/>
      <c r="O76" s="144"/>
      <c r="P76" s="145"/>
    </row>
    <row r="77" spans="1:16" x14ac:dyDescent="0.3">
      <c r="A77" s="120" t="s">
        <v>629</v>
      </c>
      <c r="B77" s="121"/>
      <c r="C77" s="121"/>
    </row>
  </sheetData>
  <sheetProtection formatRows="0" selectLockedCells="1"/>
  <mergeCells count="207">
    <mergeCell ref="E67:F67"/>
    <mergeCell ref="G67:H67"/>
    <mergeCell ref="I67:J67"/>
    <mergeCell ref="K67:L67"/>
    <mergeCell ref="M67:N67"/>
    <mergeCell ref="O67:P67"/>
    <mergeCell ref="G62:H62"/>
    <mergeCell ref="G64:H64"/>
    <mergeCell ref="G65:H65"/>
    <mergeCell ref="M62:N62"/>
    <mergeCell ref="M64:N64"/>
    <mergeCell ref="M65:N65"/>
    <mergeCell ref="O63:P63"/>
    <mergeCell ref="E64:F64"/>
    <mergeCell ref="E65:F65"/>
    <mergeCell ref="O65:P65"/>
    <mergeCell ref="K65:L65"/>
    <mergeCell ref="O64:P64"/>
    <mergeCell ref="I64:J64"/>
    <mergeCell ref="I66:J66"/>
    <mergeCell ref="I65:J65"/>
    <mergeCell ref="O62:P62"/>
    <mergeCell ref="I62:J62"/>
    <mergeCell ref="B46:O46"/>
    <mergeCell ref="E37:O37"/>
    <mergeCell ref="E38:O38"/>
    <mergeCell ref="E39:O39"/>
    <mergeCell ref="E43:O43"/>
    <mergeCell ref="E44:O44"/>
    <mergeCell ref="E45:O45"/>
    <mergeCell ref="E49:O49"/>
    <mergeCell ref="O58:P58"/>
    <mergeCell ref="A1:P1"/>
    <mergeCell ref="M3:P3"/>
    <mergeCell ref="M4:P4"/>
    <mergeCell ref="I5:L5"/>
    <mergeCell ref="A6:D6"/>
    <mergeCell ref="E6:H6"/>
    <mergeCell ref="I6:L6"/>
    <mergeCell ref="M6:P6"/>
    <mergeCell ref="A15:P15"/>
    <mergeCell ref="A7:D7"/>
    <mergeCell ref="E7:H7"/>
    <mergeCell ref="I7:L7"/>
    <mergeCell ref="M7:P7"/>
    <mergeCell ref="A8:D8"/>
    <mergeCell ref="E8:H8"/>
    <mergeCell ref="I8:L8"/>
    <mergeCell ref="M8:P8"/>
    <mergeCell ref="E12:F12"/>
    <mergeCell ref="G12:H12"/>
    <mergeCell ref="I12:J12"/>
    <mergeCell ref="K12:L12"/>
    <mergeCell ref="M12:N12"/>
    <mergeCell ref="G13:H13"/>
    <mergeCell ref="I13:J13"/>
    <mergeCell ref="O12:P12"/>
    <mergeCell ref="M13:N13"/>
    <mergeCell ref="O13:P13"/>
    <mergeCell ref="A9:D9"/>
    <mergeCell ref="Q10:R10"/>
    <mergeCell ref="A11:D11"/>
    <mergeCell ref="E11:F11"/>
    <mergeCell ref="G11:H11"/>
    <mergeCell ref="I11:J11"/>
    <mergeCell ref="K11:L11"/>
    <mergeCell ref="M11:N11"/>
    <mergeCell ref="O11:P11"/>
    <mergeCell ref="A10:D10"/>
    <mergeCell ref="G10:H10"/>
    <mergeCell ref="I10:J10"/>
    <mergeCell ref="K10:L10"/>
    <mergeCell ref="M10:N10"/>
    <mergeCell ref="O10:P10"/>
    <mergeCell ref="E10:F10"/>
    <mergeCell ref="A12:D12"/>
    <mergeCell ref="I57:J57"/>
    <mergeCell ref="M57:N57"/>
    <mergeCell ref="K57:L57"/>
    <mergeCell ref="E56:F56"/>
    <mergeCell ref="G56:H56"/>
    <mergeCell ref="A58:D58"/>
    <mergeCell ref="E58:F58"/>
    <mergeCell ref="G58:H58"/>
    <mergeCell ref="I58:J58"/>
    <mergeCell ref="K58:L58"/>
    <mergeCell ref="M58:N58"/>
    <mergeCell ref="I76:K76"/>
    <mergeCell ref="G75:H75"/>
    <mergeCell ref="G76:H76"/>
    <mergeCell ref="A13:D13"/>
    <mergeCell ref="E13:F13"/>
    <mergeCell ref="I56:J56"/>
    <mergeCell ref="K56:L56"/>
    <mergeCell ref="A54:O54"/>
    <mergeCell ref="B34:O34"/>
    <mergeCell ref="E29:O29"/>
    <mergeCell ref="M56:N56"/>
    <mergeCell ref="O56:P56"/>
    <mergeCell ref="E55:F55"/>
    <mergeCell ref="G55:H55"/>
    <mergeCell ref="I55:J55"/>
    <mergeCell ref="E76:F76"/>
    <mergeCell ref="G74:H74"/>
    <mergeCell ref="E59:F59"/>
    <mergeCell ref="E16:O16"/>
    <mergeCell ref="E17:O17"/>
    <mergeCell ref="E18:O18"/>
    <mergeCell ref="A65:D65"/>
    <mergeCell ref="A60:D60"/>
    <mergeCell ref="G59:H59"/>
    <mergeCell ref="L75:M75"/>
    <mergeCell ref="N75:P75"/>
    <mergeCell ref="I75:K75"/>
    <mergeCell ref="A3:D3"/>
    <mergeCell ref="A4:D4"/>
    <mergeCell ref="E3:L3"/>
    <mergeCell ref="E4:L4"/>
    <mergeCell ref="K59:L59"/>
    <mergeCell ref="M59:N59"/>
    <mergeCell ref="O59:P59"/>
    <mergeCell ref="E60:F60"/>
    <mergeCell ref="E61:F61"/>
    <mergeCell ref="I59:J59"/>
    <mergeCell ref="O60:P60"/>
    <mergeCell ref="M60:N60"/>
    <mergeCell ref="O61:P61"/>
    <mergeCell ref="I61:J61"/>
    <mergeCell ref="G61:H61"/>
    <mergeCell ref="M61:N61"/>
    <mergeCell ref="E24:O24"/>
    <mergeCell ref="E30:O30"/>
    <mergeCell ref="E36:O36"/>
    <mergeCell ref="K60:L60"/>
    <mergeCell ref="K61:L61"/>
    <mergeCell ref="K13:L13"/>
    <mergeCell ref="E47:O47"/>
    <mergeCell ref="B52:O52"/>
    <mergeCell ref="A35:A40"/>
    <mergeCell ref="E35:O35"/>
    <mergeCell ref="B40:O40"/>
    <mergeCell ref="A41:A46"/>
    <mergeCell ref="A17:A22"/>
    <mergeCell ref="A23:A28"/>
    <mergeCell ref="E50:O50"/>
    <mergeCell ref="E51:O51"/>
    <mergeCell ref="E48:O48"/>
    <mergeCell ref="E42:O42"/>
    <mergeCell ref="E19:O19"/>
    <mergeCell ref="E20:O20"/>
    <mergeCell ref="E21:O21"/>
    <mergeCell ref="E25:O25"/>
    <mergeCell ref="E26:O26"/>
    <mergeCell ref="E27:O27"/>
    <mergeCell ref="E31:O31"/>
    <mergeCell ref="E32:O32"/>
    <mergeCell ref="E33:O33"/>
    <mergeCell ref="E23:O23"/>
    <mergeCell ref="E41:O41"/>
    <mergeCell ref="N76:P76"/>
    <mergeCell ref="A70:P70"/>
    <mergeCell ref="A69:B69"/>
    <mergeCell ref="K62:L62"/>
    <mergeCell ref="E75:F75"/>
    <mergeCell ref="L74:M74"/>
    <mergeCell ref="A66:D66"/>
    <mergeCell ref="E66:F66"/>
    <mergeCell ref="G66:H66"/>
    <mergeCell ref="E62:F62"/>
    <mergeCell ref="A67:D67"/>
    <mergeCell ref="A72:P72"/>
    <mergeCell ref="L76:M76"/>
    <mergeCell ref="N74:P74"/>
    <mergeCell ref="I74:K74"/>
    <mergeCell ref="O66:P66"/>
    <mergeCell ref="M66:N66"/>
    <mergeCell ref="K66:L66"/>
    <mergeCell ref="E68:F68"/>
    <mergeCell ref="G68:H68"/>
    <mergeCell ref="I68:J68"/>
    <mergeCell ref="K68:L68"/>
    <mergeCell ref="M68:N68"/>
    <mergeCell ref="O68:P68"/>
    <mergeCell ref="K64:L64"/>
    <mergeCell ref="A63:D63"/>
    <mergeCell ref="E63:F63"/>
    <mergeCell ref="G63:H63"/>
    <mergeCell ref="I63:J63"/>
    <mergeCell ref="K63:L63"/>
    <mergeCell ref="M63:N63"/>
    <mergeCell ref="A29:A34"/>
    <mergeCell ref="B22:O22"/>
    <mergeCell ref="B28:O28"/>
    <mergeCell ref="A61:D61"/>
    <mergeCell ref="A62:D62"/>
    <mergeCell ref="A64:D64"/>
    <mergeCell ref="O55:P55"/>
    <mergeCell ref="O57:P57"/>
    <mergeCell ref="A47:A52"/>
    <mergeCell ref="I60:J60"/>
    <mergeCell ref="G60:H60"/>
    <mergeCell ref="A59:D59"/>
    <mergeCell ref="K55:L55"/>
    <mergeCell ref="M55:N55"/>
    <mergeCell ref="A56:D57"/>
    <mergeCell ref="E57:F57"/>
    <mergeCell ref="G57:H57"/>
  </mergeCells>
  <conditionalFormatting sqref="E67:P67">
    <cfRule type="containsText" dxfId="2" priority="1" operator="containsText" text="úvazek">
      <formula>NOT(ISERROR(SEARCH("úvazek",E67)))</formula>
    </cfRule>
    <cfRule type="containsText" dxfId="1" priority="2" operator="containsText" text="chyba">
      <formula>NOT(ISERROR(SEARCH("chyba",E67)))</formula>
    </cfRule>
    <cfRule type="containsText" dxfId="0" priority="3" operator="containsText" text="správně">
      <formula>NOT(ISERROR(SEARCH("správně",E67)))</formula>
    </cfRule>
  </conditionalFormatting>
  <dataValidations count="3">
    <dataValidation type="list" allowBlank="1" showInputMessage="1" showErrorMessage="1" sqref="M6:P6">
      <formula1>"Pracovní smlouva,DPP,DPČ"</formula1>
    </dataValidation>
    <dataValidation type="decimal" allowBlank="1" showInputMessage="1" showErrorMessage="1" sqref="K59:K66 G59:G66 E59:E66 I59:I66 O59:O66 M59:M66">
      <formula1>0</formula1>
      <formula2>2000</formula2>
    </dataValidation>
    <dataValidation type="decimal" allowBlank="1" showInputMessage="1" showErrorMessage="1" sqref="P17:P52">
      <formula1>0</formula1>
      <formula2>20000</formula2>
    </dataValidation>
  </dataValidations>
  <printOptions horizontalCentered="1"/>
  <pageMargins left="0.23622047244094491" right="0.23622047244094491" top="0.35433070866141736" bottom="0.70866141732283472" header="0.31496062992125984" footer="0.19685039370078741"/>
  <pageSetup paperSize="9" scale="62" orientation="portrait" r:id="rId1"/>
  <headerFooter scaleWithDoc="0" alignWithMargins="0">
    <oddFooter>&amp;C&amp;G</oddFooter>
  </headerFooter>
  <colBreaks count="1" manualBreakCount="1">
    <brk id="16" max="1048575" man="1"/>
  </colBreaks>
  <legacy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ZDROJE!$AN$3:$AN$32</xm:f>
          </x14:formula1>
          <xm:sqref>E7:H7</xm:sqref>
        </x14:dataValidation>
        <x14:dataValidation type="list" allowBlank="1" showInputMessage="1" showErrorMessage="1">
          <x14:formula1>
            <xm:f>ZDROJE!$C$3:$C$5</xm:f>
          </x14:formula1>
          <xm:sqref>A4:D4</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CY91"/>
  <sheetViews>
    <sheetView topLeftCell="C1" zoomScale="90" zoomScaleNormal="90" workbookViewId="0">
      <selection activeCell="CV3" sqref="CV3"/>
    </sheetView>
  </sheetViews>
  <sheetFormatPr defaultRowHeight="17.25" customHeight="1" x14ac:dyDescent="0.25"/>
  <cols>
    <col min="1" max="1" width="9.140625" style="16" hidden="1" customWidth="1"/>
    <col min="2" max="2" width="13.85546875" style="16" hidden="1" customWidth="1"/>
    <col min="3" max="3" width="15.85546875" style="16" customWidth="1"/>
    <col min="4" max="4" width="18" style="16" customWidth="1"/>
    <col min="5" max="5" width="9.140625" style="16" hidden="1" customWidth="1"/>
    <col min="6" max="7" width="13.85546875" style="16" hidden="1" customWidth="1"/>
    <col min="8" max="8" width="19.7109375" style="16" hidden="1" customWidth="1"/>
    <col min="9" max="9" width="7.42578125" style="16" hidden="1" customWidth="1"/>
    <col min="10" max="10" width="9" style="16" hidden="1" customWidth="1"/>
    <col min="11" max="11" width="22.5703125" style="73" hidden="1" customWidth="1"/>
    <col min="12" max="12" width="12.5703125" style="16" hidden="1" customWidth="1"/>
    <col min="13" max="14" width="16.28515625" style="16" hidden="1" customWidth="1"/>
    <col min="15" max="15" width="8.5703125" style="16" hidden="1" customWidth="1"/>
    <col min="16" max="16" width="12" style="16" hidden="1" customWidth="1"/>
    <col min="17" max="17" width="9" style="16" hidden="1" customWidth="1"/>
    <col min="18" max="19" width="4.28515625" style="16" hidden="1" customWidth="1"/>
    <col min="20" max="21" width="9.140625" style="16" hidden="1" customWidth="1"/>
    <col min="22" max="39" width="8" style="16" hidden="1" customWidth="1"/>
    <col min="40" max="40" width="14.7109375" style="16" customWidth="1"/>
    <col min="41" max="41" width="11.7109375" style="16" customWidth="1"/>
    <col min="42" max="42" width="18.5703125" style="16" hidden="1" customWidth="1"/>
    <col min="43" max="44" width="11.140625" style="16" hidden="1" customWidth="1"/>
    <col min="45" max="45" width="8.85546875" style="16" hidden="1" customWidth="1"/>
    <col min="46" max="46" width="7.7109375" style="16" hidden="1" customWidth="1"/>
    <col min="47" max="53" width="8.85546875" style="16" hidden="1" customWidth="1"/>
    <col min="54" max="54" width="5.28515625" style="16" hidden="1" customWidth="1"/>
    <col min="55" max="55" width="8.85546875" style="16" hidden="1" customWidth="1"/>
    <col min="56" max="56" width="4.85546875" style="16" hidden="1" customWidth="1"/>
    <col min="57" max="57" width="8.85546875" style="16" hidden="1" customWidth="1"/>
    <col min="58" max="58" width="3.5703125" style="81" hidden="1" customWidth="1"/>
    <col min="59" max="59" width="4.85546875" style="72" hidden="1" customWidth="1"/>
    <col min="60" max="60" width="15.7109375" style="72" hidden="1" customWidth="1"/>
    <col min="61" max="61" width="12.85546875" style="72" hidden="1" customWidth="1"/>
    <col min="62" max="63" width="5.140625" style="72" hidden="1" customWidth="1"/>
    <col min="64" max="64" width="5.7109375" style="72" hidden="1" customWidth="1"/>
    <col min="65" max="65" width="5.7109375" style="82" hidden="1" customWidth="1"/>
    <col min="66" max="66" width="6.28515625" style="72" hidden="1" customWidth="1"/>
    <col min="67" max="67" width="8.140625" style="72" hidden="1" customWidth="1"/>
    <col min="68" max="68" width="36.42578125" style="83" hidden="1" customWidth="1"/>
    <col min="69" max="77" width="7.7109375" style="84" hidden="1" customWidth="1"/>
    <col min="78" max="86" width="2.85546875" style="85" hidden="1" customWidth="1"/>
    <col min="87" max="87" width="9.140625" style="72" hidden="1" customWidth="1"/>
    <col min="88" max="91" width="11.7109375" style="72" hidden="1" customWidth="1"/>
    <col min="92" max="93" width="12.85546875" style="72" hidden="1" customWidth="1"/>
    <col min="94" max="95" width="22.28515625" style="16" hidden="1" customWidth="1"/>
    <col min="96" max="96" width="11.42578125" style="16" hidden="1" customWidth="1"/>
    <col min="97" max="16384" width="9.140625" style="16"/>
  </cols>
  <sheetData>
    <row r="1" spans="1:103" ht="17.25" customHeight="1" thickTop="1" thickBot="1" x14ac:dyDescent="0.3">
      <c r="A1" s="1" t="s">
        <v>46</v>
      </c>
      <c r="B1" s="1"/>
      <c r="C1" s="1"/>
      <c r="D1" s="1"/>
      <c r="E1" s="1"/>
      <c r="F1" s="1"/>
      <c r="G1" s="1"/>
      <c r="H1" s="1"/>
      <c r="I1" s="1"/>
      <c r="J1" s="1"/>
      <c r="K1" s="2" t="s">
        <v>47</v>
      </c>
      <c r="L1" s="3"/>
      <c r="M1" s="3"/>
      <c r="N1" s="3"/>
      <c r="O1" s="4" t="s">
        <v>48</v>
      </c>
      <c r="P1" s="4"/>
      <c r="Q1" s="4"/>
      <c r="R1" s="4"/>
      <c r="S1" s="4"/>
      <c r="T1" s="4"/>
      <c r="U1" s="4"/>
      <c r="V1" s="5" t="s">
        <v>49</v>
      </c>
      <c r="W1" s="6"/>
      <c r="X1" s="6"/>
      <c r="Y1" s="6"/>
      <c r="Z1" s="6"/>
      <c r="AA1" s="6"/>
      <c r="AB1" s="6"/>
      <c r="AC1" s="6"/>
      <c r="AD1" s="6"/>
      <c r="AE1" s="6"/>
      <c r="AF1" s="6"/>
      <c r="AG1" s="6"/>
      <c r="AH1" s="6"/>
      <c r="AI1" s="6"/>
      <c r="AJ1" s="6"/>
      <c r="AK1" s="6"/>
      <c r="AL1" s="6"/>
      <c r="AM1" s="6"/>
      <c r="AN1" s="7"/>
      <c r="AO1" s="8"/>
      <c r="AP1" s="6" t="s">
        <v>50</v>
      </c>
      <c r="AQ1" s="6"/>
      <c r="AR1" s="6"/>
      <c r="AS1" s="6"/>
      <c r="AT1" s="6"/>
      <c r="AU1" s="6"/>
      <c r="AV1" s="6"/>
      <c r="AW1" s="6"/>
      <c r="AX1" s="6"/>
      <c r="AY1" s="6"/>
      <c r="AZ1" s="6"/>
      <c r="BA1" s="6"/>
      <c r="BB1" s="6"/>
      <c r="BC1" s="9" t="str">
        <f>IF(([1]Dotazník!$L$10=ZDROJE!BM3)*AND([1]Dotazník!$U$20=ZDROJE!BO3)*AND([1]Dotazník!$AB$20=ZDROJE!BK3)*AND([1]Dotazník!$AB$21=ZDROJE!BJ3),ZDROJE!BP3,"chyba")</f>
        <v>chyba</v>
      </c>
      <c r="BD1" s="6"/>
      <c r="BE1" s="6"/>
      <c r="BF1" s="10" t="s">
        <v>51</v>
      </c>
      <c r="BG1" s="11"/>
      <c r="BH1" s="11"/>
      <c r="BI1" s="11"/>
      <c r="BJ1" s="11"/>
      <c r="BK1" s="11"/>
      <c r="BL1" s="11"/>
      <c r="BM1" s="12"/>
      <c r="BN1" s="11"/>
      <c r="BO1" s="11"/>
      <c r="BP1" s="11"/>
      <c r="BQ1" s="11" t="s">
        <v>52</v>
      </c>
      <c r="BR1" s="11"/>
      <c r="BS1" s="11"/>
      <c r="BT1" s="11"/>
      <c r="BU1" s="11"/>
      <c r="BV1" s="11"/>
      <c r="BW1" s="11"/>
      <c r="BX1" s="11"/>
      <c r="BY1" s="11"/>
      <c r="BZ1" s="13" t="s">
        <v>53</v>
      </c>
      <c r="CA1" s="13"/>
      <c r="CB1" s="13"/>
      <c r="CC1" s="13"/>
      <c r="CD1" s="13"/>
      <c r="CE1" s="13"/>
      <c r="CF1" s="13"/>
      <c r="CG1" s="13"/>
      <c r="CH1" s="13"/>
      <c r="CI1" s="11"/>
      <c r="CJ1" s="11"/>
      <c r="CK1" s="11"/>
      <c r="CL1" s="11"/>
      <c r="CM1" s="11"/>
      <c r="CN1" s="11"/>
      <c r="CO1" s="11"/>
      <c r="CP1" s="14" t="s">
        <v>54</v>
      </c>
      <c r="CQ1" s="15" t="s">
        <v>55</v>
      </c>
      <c r="CR1" s="15"/>
      <c r="CT1" s="17" t="s">
        <v>56</v>
      </c>
    </row>
    <row r="2" spans="1:103" s="18" customFormat="1" ht="56.25" customHeight="1" thickTop="1" x14ac:dyDescent="0.25">
      <c r="A2" s="18" t="s">
        <v>57</v>
      </c>
      <c r="B2" s="18" t="s">
        <v>58</v>
      </c>
      <c r="C2" s="19" t="s">
        <v>2</v>
      </c>
      <c r="D2" s="19" t="s">
        <v>59</v>
      </c>
      <c r="E2" s="19" t="s">
        <v>60</v>
      </c>
      <c r="F2" s="18" t="s">
        <v>61</v>
      </c>
      <c r="G2" s="18" t="s">
        <v>62</v>
      </c>
      <c r="H2" s="18" t="s">
        <v>63</v>
      </c>
      <c r="I2" s="18" t="s">
        <v>64</v>
      </c>
      <c r="J2" s="18" t="s">
        <v>65</v>
      </c>
      <c r="K2" s="20" t="s">
        <v>66</v>
      </c>
      <c r="L2" s="18" t="s">
        <v>67</v>
      </c>
      <c r="M2" s="18" t="s">
        <v>68</v>
      </c>
      <c r="N2" s="18" t="s">
        <v>69</v>
      </c>
      <c r="O2" s="19" t="s">
        <v>70</v>
      </c>
      <c r="P2" s="19" t="s">
        <v>71</v>
      </c>
      <c r="Q2" s="19" t="s">
        <v>72</v>
      </c>
      <c r="R2" s="19" t="s">
        <v>73</v>
      </c>
      <c r="S2" s="19" t="s">
        <v>74</v>
      </c>
      <c r="T2" s="19" t="s">
        <v>75</v>
      </c>
      <c r="U2" s="19" t="s">
        <v>76</v>
      </c>
      <c r="V2" s="21" t="s">
        <v>77</v>
      </c>
      <c r="W2" s="21" t="s">
        <v>78</v>
      </c>
      <c r="X2" s="22" t="s">
        <v>79</v>
      </c>
      <c r="Y2" s="22" t="s">
        <v>80</v>
      </c>
      <c r="Z2" s="20" t="s">
        <v>81</v>
      </c>
      <c r="AA2" s="20" t="s">
        <v>82</v>
      </c>
      <c r="AB2" s="21" t="s">
        <v>83</v>
      </c>
      <c r="AC2" s="21" t="s">
        <v>84</v>
      </c>
      <c r="AD2" s="22" t="s">
        <v>85</v>
      </c>
      <c r="AE2" s="22" t="s">
        <v>86</v>
      </c>
      <c r="AF2" s="20" t="s">
        <v>87</v>
      </c>
      <c r="AG2" s="20" t="s">
        <v>88</v>
      </c>
      <c r="AH2" s="21" t="s">
        <v>89</v>
      </c>
      <c r="AI2" s="21" t="s">
        <v>90</v>
      </c>
      <c r="AJ2" s="22" t="s">
        <v>91</v>
      </c>
      <c r="AK2" s="22" t="s">
        <v>92</v>
      </c>
      <c r="AL2" s="20" t="s">
        <v>93</v>
      </c>
      <c r="AM2" s="20" t="s">
        <v>94</v>
      </c>
      <c r="AN2" s="23" t="s">
        <v>95</v>
      </c>
      <c r="AO2" s="24" t="s">
        <v>96</v>
      </c>
      <c r="AP2" s="25" t="s">
        <v>97</v>
      </c>
      <c r="AQ2" s="26" t="s">
        <v>98</v>
      </c>
      <c r="AR2" s="27" t="s">
        <v>99</v>
      </c>
      <c r="AS2" s="19" t="s">
        <v>100</v>
      </c>
      <c r="AT2" s="19" t="s">
        <v>101</v>
      </c>
      <c r="AU2" s="19" t="s">
        <v>102</v>
      </c>
      <c r="AV2" s="19" t="s">
        <v>103</v>
      </c>
      <c r="AW2" s="19" t="s">
        <v>104</v>
      </c>
      <c r="AX2" s="19" t="s">
        <v>105</v>
      </c>
      <c r="AY2" s="19" t="s">
        <v>106</v>
      </c>
      <c r="AZ2" s="19" t="s">
        <v>107</v>
      </c>
      <c r="BA2" s="19" t="s">
        <v>108</v>
      </c>
      <c r="BB2" s="19" t="s">
        <v>109</v>
      </c>
      <c r="BC2" s="19" t="s">
        <v>110</v>
      </c>
      <c r="BD2" s="19" t="s">
        <v>109</v>
      </c>
      <c r="BE2" s="19" t="s">
        <v>111</v>
      </c>
      <c r="BF2" s="28" t="s">
        <v>112</v>
      </c>
      <c r="BG2" s="29" t="s">
        <v>113</v>
      </c>
      <c r="BH2" s="29" t="s">
        <v>114</v>
      </c>
      <c r="BI2" s="29" t="s">
        <v>115</v>
      </c>
      <c r="BJ2" s="29" t="s">
        <v>116</v>
      </c>
      <c r="BK2" s="30" t="s">
        <v>117</v>
      </c>
      <c r="BL2" s="29" t="s">
        <v>118</v>
      </c>
      <c r="BM2" s="31" t="s">
        <v>119</v>
      </c>
      <c r="BN2" s="29" t="s">
        <v>120</v>
      </c>
      <c r="BO2" s="30" t="s">
        <v>121</v>
      </c>
      <c r="BP2" s="29" t="s">
        <v>122</v>
      </c>
      <c r="BQ2" s="30" t="s">
        <v>123</v>
      </c>
      <c r="BR2" s="30" t="s">
        <v>124</v>
      </c>
      <c r="BS2" s="30" t="s">
        <v>125</v>
      </c>
      <c r="BT2" s="30" t="s">
        <v>126</v>
      </c>
      <c r="BU2" s="30" t="s">
        <v>127</v>
      </c>
      <c r="BV2" s="30" t="s">
        <v>128</v>
      </c>
      <c r="BW2" s="30" t="s">
        <v>129</v>
      </c>
      <c r="BX2" s="30" t="s">
        <v>130</v>
      </c>
      <c r="BY2" s="30" t="s">
        <v>131</v>
      </c>
      <c r="BZ2" s="32" t="s">
        <v>132</v>
      </c>
      <c r="CA2" s="32" t="s">
        <v>124</v>
      </c>
      <c r="CB2" s="32" t="s">
        <v>125</v>
      </c>
      <c r="CC2" s="32" t="s">
        <v>126</v>
      </c>
      <c r="CD2" s="32" t="s">
        <v>127</v>
      </c>
      <c r="CE2" s="32" t="s">
        <v>128</v>
      </c>
      <c r="CF2" s="32" t="s">
        <v>129</v>
      </c>
      <c r="CG2" s="32" t="s">
        <v>130</v>
      </c>
      <c r="CH2" s="32" t="s">
        <v>131</v>
      </c>
      <c r="CI2" s="29" t="s">
        <v>133</v>
      </c>
      <c r="CJ2" s="29" t="s">
        <v>134</v>
      </c>
      <c r="CK2" s="29" t="s">
        <v>135</v>
      </c>
      <c r="CL2" s="29" t="s">
        <v>136</v>
      </c>
      <c r="CM2" s="29" t="s">
        <v>137</v>
      </c>
      <c r="CN2" s="29" t="s">
        <v>138</v>
      </c>
      <c r="CO2" s="29" t="s">
        <v>139</v>
      </c>
      <c r="CP2" s="18" t="s">
        <v>140</v>
      </c>
      <c r="CQ2" s="18" t="s">
        <v>141</v>
      </c>
      <c r="CR2" s="18" t="s">
        <v>142</v>
      </c>
      <c r="CS2" s="33"/>
      <c r="CT2" s="34">
        <v>2017</v>
      </c>
      <c r="CU2" s="34">
        <v>2018</v>
      </c>
      <c r="CV2" s="34">
        <v>2019</v>
      </c>
      <c r="CW2" s="34">
        <v>2020</v>
      </c>
      <c r="CX2" s="34">
        <v>2021</v>
      </c>
      <c r="CY2" s="35">
        <v>2022</v>
      </c>
    </row>
    <row r="3" spans="1:103" ht="17.25" customHeight="1" x14ac:dyDescent="0.25">
      <c r="A3" s="1" t="s">
        <v>143</v>
      </c>
      <c r="B3" s="1" t="s">
        <v>144</v>
      </c>
      <c r="C3" s="36" t="s">
        <v>43</v>
      </c>
      <c r="D3" s="36" t="s">
        <v>45</v>
      </c>
      <c r="E3" s="36" t="s">
        <v>43</v>
      </c>
      <c r="F3" s="1" t="s">
        <v>145</v>
      </c>
      <c r="G3" s="1" t="s">
        <v>146</v>
      </c>
      <c r="H3" s="1" t="s">
        <v>147</v>
      </c>
      <c r="I3" s="1" t="s">
        <v>148</v>
      </c>
      <c r="J3" s="37" t="s">
        <v>149</v>
      </c>
      <c r="K3" s="2" t="s">
        <v>150</v>
      </c>
      <c r="L3" s="38">
        <v>72800</v>
      </c>
      <c r="M3" s="38">
        <v>507.90697674418601</v>
      </c>
      <c r="N3" s="39" t="s">
        <v>151</v>
      </c>
      <c r="O3" s="40" t="s">
        <v>132</v>
      </c>
      <c r="P3" s="40" t="s">
        <v>152</v>
      </c>
      <c r="Q3" s="40" t="s">
        <v>153</v>
      </c>
      <c r="R3" s="40" t="s">
        <v>154</v>
      </c>
      <c r="S3" s="40" t="s">
        <v>155</v>
      </c>
      <c r="T3" s="40" t="s">
        <v>156</v>
      </c>
      <c r="U3" s="41" t="s">
        <v>157</v>
      </c>
      <c r="V3" s="87" t="s">
        <v>158</v>
      </c>
      <c r="W3" s="88" t="s">
        <v>159</v>
      </c>
      <c r="X3" s="88" t="s">
        <v>160</v>
      </c>
      <c r="Y3" s="88" t="s">
        <v>161</v>
      </c>
      <c r="Z3" s="88" t="s">
        <v>162</v>
      </c>
      <c r="AA3" s="88" t="s">
        <v>163</v>
      </c>
      <c r="AB3" s="88" t="s">
        <v>164</v>
      </c>
      <c r="AC3" s="88" t="s">
        <v>165</v>
      </c>
      <c r="AD3" s="88" t="s">
        <v>166</v>
      </c>
      <c r="AE3" s="88" t="s">
        <v>166</v>
      </c>
      <c r="AF3" s="88" t="s">
        <v>167</v>
      </c>
      <c r="AG3" s="88" t="s">
        <v>167</v>
      </c>
      <c r="AH3" s="88" t="s">
        <v>164</v>
      </c>
      <c r="AI3" s="88" t="s">
        <v>168</v>
      </c>
      <c r="AJ3" s="88" t="s">
        <v>169</v>
      </c>
      <c r="AK3" s="89" t="s">
        <v>169</v>
      </c>
      <c r="AL3" s="88" t="s">
        <v>170</v>
      </c>
      <c r="AM3" s="89" t="s">
        <v>170</v>
      </c>
      <c r="AN3" s="90" t="str">
        <f>IF(($C$9=$C$3)*AND($C$10=$J$3),V3,
(IF(($C$9=$C$3)*AND($C$10=$J$4),X3,
(IF(($C$9=$C$3)*AND($C$10=$J$5),Z3,
IF(($C$9=$C$4)*AND($C$10=$J$3),AB3,
(IF(($C$9=$C$4)*AND($C$10=$J$4),AD3,
(IF(($C$9=$C$4)*AND($C$10=$J$5),AF3,
IF(($C$9=$C$5)*AND($C$10=$J$3),AH3,
(IF(($C$9=$C$5)*AND($C$10=$J$4),AJ3,(IF(($C$9=$C$5)*AND($C$10=$J$5),AL3,"Chyba")))))))))))))))</f>
        <v>Odborný řešitel - profesor 3</v>
      </c>
      <c r="AO3" s="91" t="str">
        <f>IF(($C$9=$C$3)*AND($C$10=$J$3),W3,
(IF(($C$9=$C$3)*AND($C$10=$J$4),Y3,
(IF(($C$9=$C$3)*AND($C$10=$J$5),AA3,
IF(($C$9=$C$4)*AND($C$10=$J$3),AC3,
(IF(($C$9=$C$4)*AND($C$10=$J$4),AE3,
(IF(($C$9=$C$4)*AND($C$10=$J$5),AG3,
IF(($C$9=$C$5)*AND($C$10=$J$3),AI3,
(IF(($C$9=$C$5)*AND($C$10=$J$4),AK3,(IF(($C$9=$C$5)*AND($C$10=$J$5),AM3,"Chyba")))))))))))))))</f>
        <v>1.1.1.2.1.1</v>
      </c>
      <c r="AP3" s="42" t="str">
        <f>IF([1]Dotazník!$L$7=ZDROJE!$D$5,AY3,(IF([1]Dotazník!$L$7=ZDROJE!$D$4,AV3,ZDROJE!AS3)))</f>
        <v>Řízení projektu (SLNO)</v>
      </c>
      <c r="AQ3" s="43" t="str">
        <f>IF([1]Dotazník!$L$7=ZDROJE!$D$5,AZ3,(IF([1]Dotazník!$L$7=ZDROJE!$D$4,AW3,ZDROJE!AT3)))</f>
        <v>KA3</v>
      </c>
      <c r="AR3" s="44" t="str">
        <f>IF([1]Dotazník!$L$7=ZDROJE!$D$5,BA3,(IF([1]Dotazník!$L$7=ZDROJE!$D$4,AX3,ZDROJE!AU3)))</f>
        <v>DA3.0</v>
      </c>
      <c r="AS3" s="43" t="s">
        <v>171</v>
      </c>
      <c r="AT3" s="43" t="s">
        <v>172</v>
      </c>
      <c r="AU3" s="43" t="s">
        <v>173</v>
      </c>
      <c r="AV3" s="43" t="s">
        <v>174</v>
      </c>
      <c r="AW3" s="43" t="s">
        <v>175</v>
      </c>
      <c r="AX3" s="43" t="s">
        <v>176</v>
      </c>
      <c r="AY3" s="43" t="s">
        <v>177</v>
      </c>
      <c r="AZ3" s="43" t="s">
        <v>175</v>
      </c>
      <c r="BA3" s="43" t="s">
        <v>176</v>
      </c>
      <c r="BB3" s="43">
        <f>IF(BC3="chyba",0,1)</f>
        <v>0</v>
      </c>
      <c r="BC3" s="43" t="str">
        <f>IF(([1]Dotazník!$L$10=ZDROJE!BM3)*AND([1]Dotazník!$AB$20=ZDROJE!BK3)*AND([1]Dotazník!$AB$21=ZDROJE!BJ3),ZDROJE!BP3,"chyba")</f>
        <v>chyba</v>
      </c>
      <c r="BD3" s="43">
        <f>IF(BE3="chyba",0,1)</f>
        <v>0</v>
      </c>
      <c r="BE3" s="43" t="str">
        <f>IF(([1]Dotazník!$L$10=ZDROJE!BM3)*AND([1]Dotazník!$U$20=ZDROJE!BO3)*AND([1]Dotazník!$AB$20=ZDROJE!BK3)*AND([1]Dotazník!$AB$21=ZDROJE!BJ3),ZDROJE!CI3,"chyba")</f>
        <v>chyba</v>
      </c>
      <c r="BF3" s="45" t="s">
        <v>178</v>
      </c>
      <c r="BG3" s="46">
        <v>622</v>
      </c>
      <c r="BH3" s="46" t="s">
        <v>43</v>
      </c>
      <c r="BI3" s="46" t="s">
        <v>179</v>
      </c>
      <c r="BJ3" s="46" t="s">
        <v>148</v>
      </c>
      <c r="BK3" s="46" t="s">
        <v>180</v>
      </c>
      <c r="BL3" s="46" t="s">
        <v>172</v>
      </c>
      <c r="BM3" s="47" t="s">
        <v>171</v>
      </c>
      <c r="BN3" s="46" t="s">
        <v>173</v>
      </c>
      <c r="BO3" s="46" t="s">
        <v>132</v>
      </c>
      <c r="BP3" s="48" t="str">
        <f>CONCATENATE(BG3," ",BI3," ",BJ3," ",BK3," ",BL3," ",BN3," ",BO3)</f>
        <v>622 Rozvoj ESF PN ZV KA1 DA1.1 REK</v>
      </c>
      <c r="BQ3" s="49" t="s">
        <v>157</v>
      </c>
      <c r="BR3" s="49"/>
      <c r="BS3" s="49"/>
      <c r="BT3" s="49"/>
      <c r="BU3" s="49"/>
      <c r="BV3" s="49"/>
      <c r="BW3" s="49"/>
      <c r="BX3" s="49"/>
      <c r="BY3" s="49"/>
      <c r="BZ3" s="50">
        <v>1</v>
      </c>
      <c r="CA3" s="50"/>
      <c r="CB3" s="50"/>
      <c r="CC3" s="50"/>
      <c r="CD3" s="50"/>
      <c r="CE3" s="50"/>
      <c r="CF3" s="50"/>
      <c r="CG3" s="50"/>
      <c r="CH3" s="50"/>
      <c r="CI3" s="46" t="str">
        <f>VLOOKUP(BK3,[2]ZDROJ!$A$2:$C$20,2,0)</f>
        <v>102020</v>
      </c>
      <c r="CJ3" s="46" t="s">
        <v>181</v>
      </c>
      <c r="CK3" s="46" t="s">
        <v>182</v>
      </c>
      <c r="CL3" s="46" t="s">
        <v>183</v>
      </c>
      <c r="CM3" s="46" t="s">
        <v>184</v>
      </c>
      <c r="CN3" s="46" t="str">
        <f>VLOOKUP([1]Dotazník!$B$76,ZDROJE!$BP$3:$CM$91,21,0)</f>
        <v>Ing. Václav Lukeš</v>
      </c>
      <c r="CO3" s="46" t="str">
        <f>VLOOKUP([1]Dotazník!$B$76,ZDROJE!$BP$3:$CM$91,23,0)</f>
        <v>Ing. Hynek Rossmüller</v>
      </c>
      <c r="CP3" s="14" t="s">
        <v>185</v>
      </c>
      <c r="CQ3" s="15" t="s">
        <v>186</v>
      </c>
      <c r="CR3" s="15" t="s">
        <v>187</v>
      </c>
      <c r="CS3" s="51" t="s">
        <v>188</v>
      </c>
      <c r="CT3" s="52">
        <v>176</v>
      </c>
      <c r="CU3" s="52">
        <v>184</v>
      </c>
      <c r="CV3" s="52">
        <v>184</v>
      </c>
      <c r="CW3" s="52">
        <v>184</v>
      </c>
      <c r="CX3" s="52">
        <v>168</v>
      </c>
      <c r="CY3" s="53">
        <v>168</v>
      </c>
    </row>
    <row r="4" spans="1:103" ht="17.25" customHeight="1" x14ac:dyDescent="0.25">
      <c r="A4" s="1" t="s">
        <v>189</v>
      </c>
      <c r="B4" s="1" t="s">
        <v>190</v>
      </c>
      <c r="C4" s="36" t="s">
        <v>191</v>
      </c>
      <c r="D4" s="36" t="s">
        <v>192</v>
      </c>
      <c r="E4" s="36" t="s">
        <v>191</v>
      </c>
      <c r="F4" s="1" t="s">
        <v>193</v>
      </c>
      <c r="G4" s="1" t="s">
        <v>194</v>
      </c>
      <c r="H4" s="1" t="s">
        <v>195</v>
      </c>
      <c r="I4" s="1" t="s">
        <v>196</v>
      </c>
      <c r="J4" s="1" t="s">
        <v>197</v>
      </c>
      <c r="K4" s="2" t="s">
        <v>198</v>
      </c>
      <c r="L4" s="38">
        <v>56000</v>
      </c>
      <c r="M4" s="38">
        <v>390.69767441860461</v>
      </c>
      <c r="N4" s="39" t="s">
        <v>199</v>
      </c>
      <c r="O4" s="40" t="s">
        <v>124</v>
      </c>
      <c r="P4" s="40" t="s">
        <v>200</v>
      </c>
      <c r="Q4" s="40" t="s">
        <v>201</v>
      </c>
      <c r="R4" s="40" t="s">
        <v>202</v>
      </c>
      <c r="S4" s="40" t="s">
        <v>203</v>
      </c>
      <c r="T4" s="40" t="s">
        <v>204</v>
      </c>
      <c r="U4" s="41">
        <v>125001</v>
      </c>
      <c r="V4" s="87" t="s">
        <v>205</v>
      </c>
      <c r="W4" s="88" t="s">
        <v>206</v>
      </c>
      <c r="X4" s="88" t="s">
        <v>207</v>
      </c>
      <c r="Y4" s="88" t="s">
        <v>208</v>
      </c>
      <c r="Z4" s="88" t="s">
        <v>160</v>
      </c>
      <c r="AA4" s="88" t="s">
        <v>209</v>
      </c>
      <c r="AB4" s="88" t="s">
        <v>210</v>
      </c>
      <c r="AC4" s="88" t="s">
        <v>211</v>
      </c>
      <c r="AD4" s="88"/>
      <c r="AE4" s="88"/>
      <c r="AF4" s="88"/>
      <c r="AG4" s="88"/>
      <c r="AH4" s="88" t="s">
        <v>212</v>
      </c>
      <c r="AI4" s="88" t="s">
        <v>213</v>
      </c>
      <c r="AJ4" s="88"/>
      <c r="AK4" s="89"/>
      <c r="AL4" s="88"/>
      <c r="AM4" s="89"/>
      <c r="AN4" s="90" t="str">
        <f t="shared" ref="AN4:AN32" si="0">IF(($C$9=$C$3)*AND($C$10=$J$3),V4,
(IF(($C$9=$C$3)*AND($C$10=$J$4),X4,
(IF(($C$9=$C$3)*AND($C$10=$J$5),Z4,
IF(($C$9=$C$4)*AND($C$10=$J$3),AB4,
(IF(($C$9=$C$4)*AND($C$10=$J$4),AD4,
(IF(($C$9=$C$4)*AND($C$10=$J$5),AF4,
IF(($C$9=$C$5)*AND($C$10=$J$3),AH4,
(IF(($C$9=$C$5)*AND($C$10=$J$4),AJ4,(IF(($C$9=$C$5)*AND($C$10=$J$5),AL4,"Chyba")))))))))))))))</f>
        <v>Odborný řešitel - profesor 2</v>
      </c>
      <c r="AO4" s="91" t="str">
        <f t="shared" ref="AO4:AO32" si="1">IF(($C$9=$C$3)*AND($C$10=$J$3),W4,
(IF(($C$9=$C$3)*AND($C$10=$J$4),Y4,
(IF(($C$9=$C$3)*AND($C$10=$J$5),AA4,
IF(($C$9=$C$4)*AND($C$10=$J$3),AC4,
(IF(($C$9=$C$4)*AND($C$10=$J$4),AE4,
(IF(($C$9=$C$4)*AND($C$10=$J$5),AG4,
IF(($C$9=$C$5)*AND($C$10=$J$3),AI4,
(IF(($C$9=$C$5)*AND($C$10=$J$4),AK4,(IF(($C$9=$C$5)*AND($C$10=$J$5),AM4,"Chyba")))))))))))))))</f>
        <v>1.1.1.2.1.2</v>
      </c>
      <c r="AP4" s="42">
        <f>IF([1]Dotazník!$L$7=ZDROJE!$D$5,AY4,(IF([1]Dotazník!$L$7=ZDROJE!$D$4,AV4,ZDROJE!AS4)))</f>
        <v>0</v>
      </c>
      <c r="AQ4" s="43">
        <f>IF([1]Dotazník!$L$7=ZDROJE!$D$5,AZ4,(IF([1]Dotazník!$L$7=ZDROJE!$D$4,AW4,ZDROJE!AT4)))</f>
        <v>0</v>
      </c>
      <c r="AR4" s="44">
        <f>IF([1]Dotazník!$L$7=ZDROJE!$D$5,BA4,(IF([1]Dotazník!$L$7=ZDROJE!$D$4,AX4,ZDROJE!AU4)))</f>
        <v>0</v>
      </c>
      <c r="AS4" s="43" t="s">
        <v>214</v>
      </c>
      <c r="AT4" s="43" t="s">
        <v>172</v>
      </c>
      <c r="AU4" s="43" t="s">
        <v>215</v>
      </c>
      <c r="AV4" s="43"/>
      <c r="AW4" s="43"/>
      <c r="AX4" s="43"/>
      <c r="AY4" s="43"/>
      <c r="AZ4" s="43"/>
      <c r="BA4" s="43"/>
      <c r="BB4" s="43">
        <f t="shared" ref="BB4:BB67" si="2">IF(BC4="chyba",0,1)</f>
        <v>0</v>
      </c>
      <c r="BC4" s="43" t="str">
        <f>IF(([1]Dotazník!$L$10=ZDROJE!BM4)*AND([1]Dotazník!$AB$20=ZDROJE!BK4)*AND([1]Dotazník!$AB$21=ZDROJE!BJ4),ZDROJE!BP4,"chyba")</f>
        <v>chyba</v>
      </c>
      <c r="BD4" s="43">
        <f t="shared" ref="BD4:BD67" si="3">IF(BE4="chyba",0,1)</f>
        <v>0</v>
      </c>
      <c r="BE4" s="43" t="str">
        <f>IF(([1]Dotazník!$L$10=ZDROJE!BM4)*AND([1]Dotazník!$AB$20=ZDROJE!BK4)*AND([1]Dotazník!$AB$21=ZDROJE!BJ4),ZDROJE!CI4,"chyba")</f>
        <v>chyba</v>
      </c>
      <c r="BF4" s="45" t="s">
        <v>216</v>
      </c>
      <c r="BG4" s="46">
        <v>622</v>
      </c>
      <c r="BH4" s="46" t="s">
        <v>43</v>
      </c>
      <c r="BI4" s="46" t="s">
        <v>179</v>
      </c>
      <c r="BJ4" s="46" t="s">
        <v>148</v>
      </c>
      <c r="BK4" s="46" t="s">
        <v>217</v>
      </c>
      <c r="BL4" s="46" t="s">
        <v>172</v>
      </c>
      <c r="BM4" s="47" t="s">
        <v>171</v>
      </c>
      <c r="BN4" s="46" t="s">
        <v>173</v>
      </c>
      <c r="BO4" s="46" t="s">
        <v>132</v>
      </c>
      <c r="BP4" s="48" t="str">
        <f t="shared" ref="BP4:BP54" si="4">CONCATENATE(BG4," ",BI4," ",BJ4," ",BK4," ",BL4," ",BN4," ",BO4)</f>
        <v>622 Rozvoj ESF PN NV KA1 DA1.1 REK</v>
      </c>
      <c r="BQ4" s="49" t="s">
        <v>157</v>
      </c>
      <c r="BR4" s="49"/>
      <c r="BS4" s="49"/>
      <c r="BT4" s="49"/>
      <c r="BU4" s="49"/>
      <c r="BV4" s="49"/>
      <c r="BW4" s="49"/>
      <c r="BX4" s="49"/>
      <c r="BY4" s="49"/>
      <c r="BZ4" s="50">
        <v>1</v>
      </c>
      <c r="CA4" s="50"/>
      <c r="CB4" s="50"/>
      <c r="CC4" s="50"/>
      <c r="CD4" s="50"/>
      <c r="CE4" s="50"/>
      <c r="CF4" s="50"/>
      <c r="CG4" s="50"/>
      <c r="CH4" s="50"/>
      <c r="CI4" s="46" t="str">
        <f>VLOOKUP(BK4,[2]ZDROJ!$A$2:$C$20,2,0)</f>
        <v>102031</v>
      </c>
      <c r="CJ4" s="46" t="s">
        <v>181</v>
      </c>
      <c r="CK4" s="46" t="s">
        <v>182</v>
      </c>
      <c r="CL4" s="46" t="s">
        <v>183</v>
      </c>
      <c r="CM4" s="46" t="s">
        <v>184</v>
      </c>
      <c r="CN4" s="46" t="str">
        <f>VLOOKUP([1]Dotazník!$B$76,ZDROJE!$BP$3:$CM$91,22,0)</f>
        <v>Kropáčková ???</v>
      </c>
      <c r="CO4" s="46" t="str">
        <f>VLOOKUP([1]Dotazník!$B$76,ZDROJE!$BP$3:$CM$91,24,0)</f>
        <v>Bc. Lucie Brucknerová</v>
      </c>
      <c r="CP4" s="14" t="s">
        <v>218</v>
      </c>
      <c r="CQ4" s="15" t="s">
        <v>219</v>
      </c>
      <c r="CR4" s="15" t="s">
        <v>220</v>
      </c>
      <c r="CS4" s="51" t="s">
        <v>221</v>
      </c>
      <c r="CT4" s="52">
        <v>160</v>
      </c>
      <c r="CU4" s="52">
        <v>160</v>
      </c>
      <c r="CV4" s="52">
        <v>160</v>
      </c>
      <c r="CW4" s="52">
        <v>160</v>
      </c>
      <c r="CX4" s="52">
        <v>160</v>
      </c>
      <c r="CY4" s="53">
        <v>160</v>
      </c>
    </row>
    <row r="5" spans="1:103" ht="17.25" customHeight="1" x14ac:dyDescent="0.25">
      <c r="B5" s="1" t="s">
        <v>222</v>
      </c>
      <c r="C5" s="36" t="s">
        <v>223</v>
      </c>
      <c r="D5" s="36" t="s">
        <v>224</v>
      </c>
      <c r="E5" s="36" t="s">
        <v>225</v>
      </c>
      <c r="F5" s="1" t="s">
        <v>226</v>
      </c>
      <c r="G5" s="1"/>
      <c r="H5" s="1" t="s">
        <v>227</v>
      </c>
      <c r="I5" s="1" t="s">
        <v>228</v>
      </c>
      <c r="J5" s="1" t="s">
        <v>229</v>
      </c>
      <c r="K5" s="2" t="s">
        <v>230</v>
      </c>
      <c r="L5" s="38">
        <v>46000</v>
      </c>
      <c r="M5" s="38">
        <v>320.93023255813949</v>
      </c>
      <c r="N5" s="39" t="s">
        <v>199</v>
      </c>
      <c r="O5" s="40" t="s">
        <v>125</v>
      </c>
      <c r="P5" s="40" t="s">
        <v>231</v>
      </c>
      <c r="Q5" s="40" t="s">
        <v>153</v>
      </c>
      <c r="R5" s="40" t="s">
        <v>202</v>
      </c>
      <c r="S5" s="40" t="s">
        <v>232</v>
      </c>
      <c r="T5" s="40" t="s">
        <v>233</v>
      </c>
      <c r="U5" s="41">
        <v>115001</v>
      </c>
      <c r="V5" s="87" t="s">
        <v>234</v>
      </c>
      <c r="W5" s="88" t="s">
        <v>235</v>
      </c>
      <c r="X5" s="88" t="s">
        <v>337</v>
      </c>
      <c r="Y5" s="88" t="s">
        <v>626</v>
      </c>
      <c r="Z5" s="88" t="s">
        <v>282</v>
      </c>
      <c r="AA5" s="88" t="s">
        <v>628</v>
      </c>
      <c r="AB5" s="88" t="s">
        <v>236</v>
      </c>
      <c r="AC5" s="88" t="s">
        <v>237</v>
      </c>
      <c r="AD5" s="88"/>
      <c r="AE5" s="88"/>
      <c r="AF5" s="88"/>
      <c r="AG5" s="88"/>
      <c r="AH5" s="88" t="s">
        <v>238</v>
      </c>
      <c r="AI5" s="88" t="s">
        <v>239</v>
      </c>
      <c r="AJ5" s="88"/>
      <c r="AK5" s="89"/>
      <c r="AL5" s="88"/>
      <c r="AM5" s="89"/>
      <c r="AN5" s="90" t="str">
        <f t="shared" si="0"/>
        <v>Odborný řešitel - odborný asistent 2</v>
      </c>
      <c r="AO5" s="91" t="str">
        <f t="shared" si="1"/>
        <v>1.1.1.2.1.3</v>
      </c>
      <c r="AP5" s="42">
        <f>IF([1]Dotazník!$L$7=ZDROJE!$D$5,AY5,(IF([1]Dotazník!$L$7=ZDROJE!$D$4,AV5,ZDROJE!AS5)))</f>
        <v>0</v>
      </c>
      <c r="AQ5" s="43">
        <f>IF([1]Dotazník!$L$7=ZDROJE!$D$5,AZ5,(IF([1]Dotazník!$L$7=ZDROJE!$D$4,AW5,ZDROJE!AT5)))</f>
        <v>0</v>
      </c>
      <c r="AR5" s="44">
        <f>IF([1]Dotazník!$L$7=ZDROJE!$D$5,BA5,(IF([1]Dotazník!$L$7=ZDROJE!$D$4,AX5,ZDROJE!AU5)))</f>
        <v>0</v>
      </c>
      <c r="AS5" s="43" t="s">
        <v>240</v>
      </c>
      <c r="AT5" s="43" t="s">
        <v>241</v>
      </c>
      <c r="AU5" s="43" t="s">
        <v>242</v>
      </c>
      <c r="AV5" s="43"/>
      <c r="AW5" s="43"/>
      <c r="AX5" s="43"/>
      <c r="AY5" s="43"/>
      <c r="AZ5" s="43"/>
      <c r="BA5" s="43"/>
      <c r="BB5" s="43">
        <f t="shared" si="2"/>
        <v>0</v>
      </c>
      <c r="BC5" s="43" t="str">
        <f>IF(([1]Dotazník!$L$10=ZDROJE!BM5)*AND([1]Dotazník!$AB$20=ZDROJE!BK5)*AND([1]Dotazník!$AB$21=ZDROJE!BJ5),ZDROJE!BP5,"chyba")</f>
        <v>chyba</v>
      </c>
      <c r="BD5" s="43">
        <f t="shared" si="3"/>
        <v>0</v>
      </c>
      <c r="BE5" s="43" t="str">
        <f>IF(([1]Dotazník!$L$10=ZDROJE!BM5)*AND([1]Dotazník!$AB$20=ZDROJE!BK5)*AND([1]Dotazník!$AB$21=ZDROJE!BJ5),ZDROJE!CI5,"chyba")</f>
        <v>chyba</v>
      </c>
      <c r="BF5" s="45" t="s">
        <v>243</v>
      </c>
      <c r="BG5" s="46">
        <v>622</v>
      </c>
      <c r="BH5" s="46" t="s">
        <v>43</v>
      </c>
      <c r="BI5" s="46" t="s">
        <v>179</v>
      </c>
      <c r="BJ5" s="46" t="s">
        <v>196</v>
      </c>
      <c r="BK5" s="46" t="s">
        <v>180</v>
      </c>
      <c r="BL5" s="46" t="s">
        <v>172</v>
      </c>
      <c r="BM5" s="47" t="s">
        <v>171</v>
      </c>
      <c r="BN5" s="46" t="s">
        <v>173</v>
      </c>
      <c r="BO5" s="46" t="s">
        <v>132</v>
      </c>
      <c r="BP5" s="48" t="str">
        <f t="shared" si="4"/>
        <v>622 Rozvoj ESF PaN ZV KA1 DA1.1 REK</v>
      </c>
      <c r="BQ5" s="49" t="s">
        <v>157</v>
      </c>
      <c r="BR5" s="49"/>
      <c r="BS5" s="49"/>
      <c r="BT5" s="49"/>
      <c r="BU5" s="49"/>
      <c r="BV5" s="49"/>
      <c r="BW5" s="49"/>
      <c r="BX5" s="49"/>
      <c r="BY5" s="49"/>
      <c r="BZ5" s="50">
        <v>1</v>
      </c>
      <c r="CA5" s="50"/>
      <c r="CB5" s="50"/>
      <c r="CC5" s="50"/>
      <c r="CD5" s="50"/>
      <c r="CE5" s="50"/>
      <c r="CF5" s="50"/>
      <c r="CG5" s="50"/>
      <c r="CH5" s="50"/>
      <c r="CI5" s="46" t="str">
        <f>VLOOKUP(BK5,[2]ZDROJ!$A$2:$C$20,2,0)</f>
        <v>102020</v>
      </c>
      <c r="CJ5" s="54" t="s">
        <v>244</v>
      </c>
      <c r="CK5" s="54"/>
      <c r="CL5" s="46" t="s">
        <v>183</v>
      </c>
      <c r="CM5" s="46" t="s">
        <v>184</v>
      </c>
      <c r="CN5" s="55"/>
      <c r="CO5" s="55"/>
      <c r="CP5" s="14" t="s">
        <v>245</v>
      </c>
      <c r="CQ5" s="15" t="s">
        <v>246</v>
      </c>
      <c r="CR5" s="15" t="s">
        <v>247</v>
      </c>
      <c r="CS5" s="51" t="s">
        <v>248</v>
      </c>
      <c r="CT5" s="52">
        <v>184</v>
      </c>
      <c r="CU5" s="52">
        <v>176</v>
      </c>
      <c r="CV5" s="52">
        <v>168</v>
      </c>
      <c r="CW5" s="52">
        <v>176</v>
      </c>
      <c r="CX5" s="52">
        <v>184</v>
      </c>
      <c r="CY5" s="53">
        <v>184</v>
      </c>
    </row>
    <row r="6" spans="1:103" ht="17.25" customHeight="1" x14ac:dyDescent="0.25">
      <c r="F6" s="1" t="s">
        <v>249</v>
      </c>
      <c r="G6" s="1"/>
      <c r="K6" s="2" t="s">
        <v>250</v>
      </c>
      <c r="L6" s="38">
        <v>71000</v>
      </c>
      <c r="M6" s="38">
        <v>495.3488372093023</v>
      </c>
      <c r="N6" s="39" t="s">
        <v>251</v>
      </c>
      <c r="O6" s="40" t="s">
        <v>126</v>
      </c>
      <c r="P6" s="40" t="s">
        <v>252</v>
      </c>
      <c r="Q6" s="40" t="s">
        <v>253</v>
      </c>
      <c r="R6" s="40" t="s">
        <v>202</v>
      </c>
      <c r="S6" s="40" t="s">
        <v>254</v>
      </c>
      <c r="T6" s="40" t="s">
        <v>255</v>
      </c>
      <c r="U6" s="41" t="s">
        <v>256</v>
      </c>
      <c r="V6" s="87" t="s">
        <v>257</v>
      </c>
      <c r="W6" s="88" t="s">
        <v>258</v>
      </c>
      <c r="X6" s="88" t="s">
        <v>282</v>
      </c>
      <c r="Y6" s="88" t="s">
        <v>627</v>
      </c>
      <c r="Z6" s="88"/>
      <c r="AA6" s="88"/>
      <c r="AB6" s="88" t="s">
        <v>259</v>
      </c>
      <c r="AC6" s="88" t="s">
        <v>260</v>
      </c>
      <c r="AD6" s="88"/>
      <c r="AE6" s="88"/>
      <c r="AF6" s="88"/>
      <c r="AG6" s="88"/>
      <c r="AH6" s="88" t="s">
        <v>261</v>
      </c>
      <c r="AI6" s="88" t="s">
        <v>262</v>
      </c>
      <c r="AJ6" s="88"/>
      <c r="AK6" s="89"/>
      <c r="AL6" s="88"/>
      <c r="AM6" s="89"/>
      <c r="AN6" s="90" t="str">
        <f t="shared" si="0"/>
        <v>Odborný řešitel - odborný asistent 1</v>
      </c>
      <c r="AO6" s="91" t="str">
        <f t="shared" si="1"/>
        <v>1.1.1.2.1.4</v>
      </c>
      <c r="AP6" s="42">
        <f>IF([1]Dotazník!$L$7=ZDROJE!$D$5,AY6,(IF([1]Dotazník!$L$7=ZDROJE!$D$4,AV6,ZDROJE!AS6)))</f>
        <v>0</v>
      </c>
      <c r="AQ6" s="43">
        <f>IF([1]Dotazník!$L$7=ZDROJE!$D$5,AZ6,(IF([1]Dotazník!$L$7=ZDROJE!$D$4,AW6,ZDROJE!AT6)))</f>
        <v>0</v>
      </c>
      <c r="AR6" s="44">
        <f>IF([1]Dotazník!$L$7=ZDROJE!$D$5,BA6,(IF([1]Dotazník!$L$7=ZDROJE!$D$4,AX6,ZDROJE!AU6)))</f>
        <v>0</v>
      </c>
      <c r="AS6" s="43" t="s">
        <v>263</v>
      </c>
      <c r="AT6" s="43" t="s">
        <v>241</v>
      </c>
      <c r="AU6" s="43" t="s">
        <v>264</v>
      </c>
      <c r="AV6" s="43"/>
      <c r="AW6" s="43"/>
      <c r="AX6" s="43"/>
      <c r="AY6" s="43"/>
      <c r="AZ6" s="43"/>
      <c r="BA6" s="43"/>
      <c r="BB6" s="43">
        <f t="shared" si="2"/>
        <v>0</v>
      </c>
      <c r="BC6" s="43" t="str">
        <f>IF(([1]Dotazník!$L$10=ZDROJE!BM6)*AND([1]Dotazník!$AB$20=ZDROJE!BK6)*AND([1]Dotazník!$AB$21=ZDROJE!BJ6),ZDROJE!BP6,"chyba")</f>
        <v>chyba</v>
      </c>
      <c r="BD6" s="43">
        <f t="shared" si="3"/>
        <v>0</v>
      </c>
      <c r="BE6" s="43" t="str">
        <f>IF(([1]Dotazník!$L$10=ZDROJE!BM6)*AND([1]Dotazník!$AB$20=ZDROJE!BK6)*AND([1]Dotazník!$AB$21=ZDROJE!BJ6),ZDROJE!CI6,"chyba")</f>
        <v>chyba</v>
      </c>
      <c r="BF6" s="45" t="s">
        <v>265</v>
      </c>
      <c r="BG6" s="46">
        <v>622</v>
      </c>
      <c r="BH6" s="46" t="s">
        <v>43</v>
      </c>
      <c r="BI6" s="46" t="s">
        <v>179</v>
      </c>
      <c r="BJ6" s="46" t="s">
        <v>148</v>
      </c>
      <c r="BK6" s="46" t="s">
        <v>180</v>
      </c>
      <c r="BL6" s="46" t="s">
        <v>172</v>
      </c>
      <c r="BM6" s="47" t="s">
        <v>214</v>
      </c>
      <c r="BN6" s="46" t="s">
        <v>215</v>
      </c>
      <c r="BO6" s="46" t="s">
        <v>132</v>
      </c>
      <c r="BP6" s="48" t="str">
        <f t="shared" si="4"/>
        <v>622 Rozvoj ESF PN ZV KA1 DA1.2 REK</v>
      </c>
      <c r="BQ6" s="49" t="s">
        <v>157</v>
      </c>
      <c r="BR6" s="49" t="s">
        <v>266</v>
      </c>
      <c r="BS6" s="49" t="s">
        <v>267</v>
      </c>
      <c r="BT6" s="49" t="s">
        <v>256</v>
      </c>
      <c r="BU6" s="49" t="s">
        <v>268</v>
      </c>
      <c r="BV6" s="49" t="s">
        <v>269</v>
      </c>
      <c r="BW6" s="49" t="s">
        <v>270</v>
      </c>
      <c r="BX6" s="49" t="s">
        <v>271</v>
      </c>
      <c r="BY6" s="49" t="s">
        <v>272</v>
      </c>
      <c r="BZ6" s="50">
        <v>1</v>
      </c>
      <c r="CA6" s="50">
        <v>1</v>
      </c>
      <c r="CB6" s="50">
        <v>1</v>
      </c>
      <c r="CC6" s="50">
        <v>1</v>
      </c>
      <c r="CD6" s="50">
        <v>1</v>
      </c>
      <c r="CE6" s="50">
        <v>1</v>
      </c>
      <c r="CF6" s="50">
        <v>1</v>
      </c>
      <c r="CG6" s="50">
        <v>1</v>
      </c>
      <c r="CH6" s="50">
        <v>1</v>
      </c>
      <c r="CI6" s="46" t="str">
        <f>VLOOKUP(BK6,[2]ZDROJ!$A$2:$C$20,2,0)</f>
        <v>102020</v>
      </c>
      <c r="CJ6" s="46" t="s">
        <v>181</v>
      </c>
      <c r="CK6" s="46" t="s">
        <v>182</v>
      </c>
      <c r="CL6" s="46" t="s">
        <v>183</v>
      </c>
      <c r="CM6" s="46" t="s">
        <v>184</v>
      </c>
      <c r="CN6" s="55"/>
      <c r="CO6" s="55"/>
      <c r="CP6" s="14" t="s">
        <v>273</v>
      </c>
      <c r="CQ6" s="15" t="s">
        <v>274</v>
      </c>
      <c r="CR6" s="15" t="s">
        <v>275</v>
      </c>
      <c r="CS6" s="51" t="s">
        <v>276</v>
      </c>
      <c r="CT6" s="52">
        <v>160</v>
      </c>
      <c r="CU6" s="52">
        <v>168</v>
      </c>
      <c r="CV6" s="52">
        <v>176</v>
      </c>
      <c r="CW6" s="52">
        <v>176</v>
      </c>
      <c r="CX6" s="52">
        <v>176</v>
      </c>
      <c r="CY6" s="53">
        <v>168</v>
      </c>
    </row>
    <row r="7" spans="1:103" ht="17.25" customHeight="1" x14ac:dyDescent="0.25">
      <c r="F7" s="1" t="s">
        <v>277</v>
      </c>
      <c r="G7" s="1"/>
      <c r="K7" s="2" t="s">
        <v>205</v>
      </c>
      <c r="L7" s="38">
        <v>56000</v>
      </c>
      <c r="M7" s="38">
        <v>390.69767441860461</v>
      </c>
      <c r="N7" s="39" t="s">
        <v>251</v>
      </c>
      <c r="O7" s="40" t="s">
        <v>127</v>
      </c>
      <c r="P7" s="40" t="s">
        <v>278</v>
      </c>
      <c r="Q7" s="40" t="s">
        <v>279</v>
      </c>
      <c r="R7" s="40" t="s">
        <v>202</v>
      </c>
      <c r="S7" s="40" t="s">
        <v>280</v>
      </c>
      <c r="T7" s="40" t="s">
        <v>281</v>
      </c>
      <c r="U7" s="41" t="s">
        <v>268</v>
      </c>
      <c r="V7" s="87" t="s">
        <v>282</v>
      </c>
      <c r="W7" s="88" t="s">
        <v>283</v>
      </c>
      <c r="X7" s="88"/>
      <c r="Y7" s="88"/>
      <c r="Z7" s="88"/>
      <c r="AA7" s="88"/>
      <c r="AB7" s="88" t="s">
        <v>284</v>
      </c>
      <c r="AC7" s="88" t="s">
        <v>285</v>
      </c>
      <c r="AD7" s="88"/>
      <c r="AE7" s="88"/>
      <c r="AF7" s="88"/>
      <c r="AG7" s="88"/>
      <c r="AH7" s="88" t="s">
        <v>286</v>
      </c>
      <c r="AI7" s="88" t="s">
        <v>287</v>
      </c>
      <c r="AJ7" s="88"/>
      <c r="AK7" s="89"/>
      <c r="AL7" s="88"/>
      <c r="AM7" s="89"/>
      <c r="AN7" s="90" t="str">
        <f t="shared" si="0"/>
        <v>Odborný řešitel - metodik expert 2</v>
      </c>
      <c r="AO7" s="91" t="str">
        <f t="shared" si="1"/>
        <v>1.1.1.2.1.5</v>
      </c>
      <c r="AP7" s="42">
        <f>IF([1]Dotazník!$L$7=ZDROJE!$D$5,AY7,(IF([1]Dotazník!$L$7=ZDROJE!$D$4,AV7,ZDROJE!AS7)))</f>
        <v>0</v>
      </c>
      <c r="AQ7" s="43">
        <f>IF([1]Dotazník!$L$7=ZDROJE!$D$5,AZ7,(IF([1]Dotazník!$L$7=ZDROJE!$D$4,AW7,ZDROJE!AT7)))</f>
        <v>0</v>
      </c>
      <c r="AR7" s="44">
        <f>IF([1]Dotazník!$L$7=ZDROJE!$D$5,BA7,(IF([1]Dotazník!$L$7=ZDROJE!$D$4,AX7,ZDROJE!AU7)))</f>
        <v>0</v>
      </c>
      <c r="AS7" s="43" t="s">
        <v>288</v>
      </c>
      <c r="AT7" s="43" t="s">
        <v>241</v>
      </c>
      <c r="AU7" s="43" t="s">
        <v>289</v>
      </c>
      <c r="AV7" s="43"/>
      <c r="AW7" s="43"/>
      <c r="AX7" s="43"/>
      <c r="AY7" s="43"/>
      <c r="AZ7" s="43"/>
      <c r="BA7" s="43"/>
      <c r="BB7" s="43">
        <f t="shared" si="2"/>
        <v>0</v>
      </c>
      <c r="BC7" s="43" t="str">
        <f>IF(([1]Dotazník!$L$10=ZDROJE!BM7)*AND([1]Dotazník!$AB$20=ZDROJE!BK7)*AND([1]Dotazník!$AB$21=ZDROJE!BJ7),ZDROJE!BP7,"chyba")</f>
        <v>chyba</v>
      </c>
      <c r="BD7" s="43">
        <f t="shared" si="3"/>
        <v>0</v>
      </c>
      <c r="BE7" s="43" t="str">
        <f>IF(([1]Dotazník!$L$10=ZDROJE!BM7)*AND([1]Dotazník!$AB$20=ZDROJE!BK7)*AND([1]Dotazník!$AB$21=ZDROJE!BJ7),ZDROJE!CI7,"chyba")</f>
        <v>chyba</v>
      </c>
      <c r="BF7" s="45" t="s">
        <v>290</v>
      </c>
      <c r="BG7" s="46">
        <v>622</v>
      </c>
      <c r="BH7" s="46" t="s">
        <v>43</v>
      </c>
      <c r="BI7" s="46" t="s">
        <v>179</v>
      </c>
      <c r="BJ7" s="46" t="s">
        <v>148</v>
      </c>
      <c r="BK7" s="46" t="s">
        <v>217</v>
      </c>
      <c r="BL7" s="46" t="s">
        <v>172</v>
      </c>
      <c r="BM7" s="47" t="s">
        <v>214</v>
      </c>
      <c r="BN7" s="46" t="s">
        <v>215</v>
      </c>
      <c r="BO7" s="46" t="s">
        <v>132</v>
      </c>
      <c r="BP7" s="48" t="str">
        <f t="shared" si="4"/>
        <v>622 Rozvoj ESF PN NV KA1 DA1.2 REK</v>
      </c>
      <c r="BQ7" s="49" t="s">
        <v>157</v>
      </c>
      <c r="BR7" s="49" t="s">
        <v>266</v>
      </c>
      <c r="BS7" s="49" t="s">
        <v>267</v>
      </c>
      <c r="BT7" s="49" t="s">
        <v>256</v>
      </c>
      <c r="BU7" s="49" t="s">
        <v>268</v>
      </c>
      <c r="BV7" s="49" t="s">
        <v>269</v>
      </c>
      <c r="BW7" s="49" t="s">
        <v>270</v>
      </c>
      <c r="BX7" s="49" t="s">
        <v>271</v>
      </c>
      <c r="BY7" s="49" t="s">
        <v>272</v>
      </c>
      <c r="BZ7" s="50">
        <v>1</v>
      </c>
      <c r="CA7" s="50">
        <v>1</v>
      </c>
      <c r="CB7" s="50">
        <v>1</v>
      </c>
      <c r="CC7" s="50">
        <v>1</v>
      </c>
      <c r="CD7" s="50">
        <v>1</v>
      </c>
      <c r="CE7" s="50">
        <v>1</v>
      </c>
      <c r="CF7" s="50">
        <v>1</v>
      </c>
      <c r="CG7" s="50">
        <v>1</v>
      </c>
      <c r="CH7" s="50">
        <v>1</v>
      </c>
      <c r="CI7" s="46" t="str">
        <f>VLOOKUP(BK7,[2]ZDROJ!$A$2:$C$20,2,0)</f>
        <v>102031</v>
      </c>
      <c r="CJ7" s="46" t="s">
        <v>181</v>
      </c>
      <c r="CK7" s="46" t="s">
        <v>182</v>
      </c>
      <c r="CL7" s="46" t="s">
        <v>183</v>
      </c>
      <c r="CM7" s="46" t="s">
        <v>184</v>
      </c>
      <c r="CN7" s="55"/>
      <c r="CO7" s="55"/>
      <c r="CP7" s="14" t="s">
        <v>291</v>
      </c>
      <c r="CQ7" s="15" t="s">
        <v>292</v>
      </c>
      <c r="CR7" s="15" t="s">
        <v>293</v>
      </c>
      <c r="CS7" s="51" t="s">
        <v>294</v>
      </c>
      <c r="CT7" s="52">
        <v>184</v>
      </c>
      <c r="CU7" s="52">
        <v>184</v>
      </c>
      <c r="CV7" s="52">
        <v>184</v>
      </c>
      <c r="CW7" s="52">
        <v>168</v>
      </c>
      <c r="CX7" s="52">
        <v>168</v>
      </c>
      <c r="CY7" s="53">
        <v>176</v>
      </c>
    </row>
    <row r="8" spans="1:103" ht="17.25" customHeight="1" x14ac:dyDescent="0.25">
      <c r="F8" s="1" t="s">
        <v>295</v>
      </c>
      <c r="G8" s="1"/>
      <c r="K8" s="2" t="s">
        <v>158</v>
      </c>
      <c r="L8" s="38">
        <v>49000</v>
      </c>
      <c r="M8" s="38">
        <v>341.86046511627904</v>
      </c>
      <c r="N8" s="39" t="s">
        <v>251</v>
      </c>
      <c r="O8" s="40" t="s">
        <v>128</v>
      </c>
      <c r="P8" s="40" t="s">
        <v>296</v>
      </c>
      <c r="Q8" s="40" t="s">
        <v>297</v>
      </c>
      <c r="R8" s="40" t="s">
        <v>202</v>
      </c>
      <c r="S8" s="40" t="s">
        <v>298</v>
      </c>
      <c r="T8" s="40" t="s">
        <v>299</v>
      </c>
      <c r="U8" s="41" t="s">
        <v>269</v>
      </c>
      <c r="V8" s="87" t="s">
        <v>207</v>
      </c>
      <c r="W8" s="88" t="s">
        <v>300</v>
      </c>
      <c r="X8" s="88"/>
      <c r="Y8" s="88"/>
      <c r="Z8" s="88"/>
      <c r="AA8" s="88"/>
      <c r="AB8" s="88" t="s">
        <v>301</v>
      </c>
      <c r="AC8" s="88" t="s">
        <v>302</v>
      </c>
      <c r="AD8" s="88"/>
      <c r="AE8" s="88"/>
      <c r="AF8" s="88"/>
      <c r="AG8" s="88"/>
      <c r="AH8" s="88" t="s">
        <v>303</v>
      </c>
      <c r="AI8" s="88" t="s">
        <v>304</v>
      </c>
      <c r="AJ8" s="88"/>
      <c r="AK8" s="89"/>
      <c r="AL8" s="88"/>
      <c r="AM8" s="89"/>
      <c r="AN8" s="90" t="str">
        <f t="shared" si="0"/>
        <v>Odborný řešitel - metodik expert 1</v>
      </c>
      <c r="AO8" s="91" t="str">
        <f t="shared" si="1"/>
        <v>1.1.1.2.1.6</v>
      </c>
      <c r="AP8" s="42">
        <f>IF([1]Dotazník!$L$7=ZDROJE!$D$5,AY8,(IF([1]Dotazník!$L$7=ZDROJE!$D$4,AV8,ZDROJE!AS8)))</f>
        <v>0</v>
      </c>
      <c r="AQ8" s="43">
        <f>IF([1]Dotazník!$L$7=ZDROJE!$D$5,AZ8,(IF([1]Dotazník!$L$7=ZDROJE!$D$4,AW8,ZDROJE!AT8)))</f>
        <v>0</v>
      </c>
      <c r="AR8" s="44">
        <f>IF([1]Dotazník!$L$7=ZDROJE!$D$5,BA8,(IF([1]Dotazník!$L$7=ZDROJE!$D$4,AX8,ZDROJE!AU8)))</f>
        <v>0</v>
      </c>
      <c r="AS8" s="43" t="s">
        <v>305</v>
      </c>
      <c r="AT8" s="43" t="s">
        <v>241</v>
      </c>
      <c r="AU8" s="43" t="s">
        <v>306</v>
      </c>
      <c r="AV8" s="43"/>
      <c r="AW8" s="43"/>
      <c r="AX8" s="43"/>
      <c r="AY8" s="43"/>
      <c r="AZ8" s="43"/>
      <c r="BA8" s="43"/>
      <c r="BB8" s="43">
        <f t="shared" si="2"/>
        <v>0</v>
      </c>
      <c r="BC8" s="43" t="str">
        <f>IF(([1]Dotazník!$L$10=ZDROJE!BM8)*AND([1]Dotazník!$AB$20=ZDROJE!BK8)*AND([1]Dotazník!$AB$21=ZDROJE!BJ8),ZDROJE!BP8,"chyba")</f>
        <v>chyba</v>
      </c>
      <c r="BD8" s="43">
        <f t="shared" si="3"/>
        <v>0</v>
      </c>
      <c r="BE8" s="43" t="str">
        <f>IF(([1]Dotazník!$L$10=ZDROJE!BM8)*AND([1]Dotazník!$AB$20=ZDROJE!BK8)*AND([1]Dotazník!$AB$21=ZDROJE!BJ8),ZDROJE!CI8,"chyba")</f>
        <v>chyba</v>
      </c>
      <c r="BF8" s="45" t="s">
        <v>307</v>
      </c>
      <c r="BG8" s="46">
        <v>622</v>
      </c>
      <c r="BH8" s="46" t="s">
        <v>43</v>
      </c>
      <c r="BI8" s="46" t="s">
        <v>179</v>
      </c>
      <c r="BJ8" s="46" t="s">
        <v>196</v>
      </c>
      <c r="BK8" s="46" t="s">
        <v>180</v>
      </c>
      <c r="BL8" s="46" t="s">
        <v>172</v>
      </c>
      <c r="BM8" s="47" t="s">
        <v>214</v>
      </c>
      <c r="BN8" s="46" t="s">
        <v>215</v>
      </c>
      <c r="BO8" s="46" t="s">
        <v>132</v>
      </c>
      <c r="BP8" s="48" t="str">
        <f t="shared" si="4"/>
        <v>622 Rozvoj ESF PaN ZV KA1 DA1.2 REK</v>
      </c>
      <c r="BQ8" s="49" t="s">
        <v>157</v>
      </c>
      <c r="BR8" s="49" t="s">
        <v>266</v>
      </c>
      <c r="BS8" s="49" t="s">
        <v>267</v>
      </c>
      <c r="BT8" s="49" t="s">
        <v>256</v>
      </c>
      <c r="BU8" s="49" t="s">
        <v>268</v>
      </c>
      <c r="BV8" s="49" t="s">
        <v>269</v>
      </c>
      <c r="BW8" s="49" t="s">
        <v>270</v>
      </c>
      <c r="BX8" s="49" t="s">
        <v>271</v>
      </c>
      <c r="BY8" s="49" t="s">
        <v>272</v>
      </c>
      <c r="BZ8" s="50">
        <v>1</v>
      </c>
      <c r="CA8" s="50">
        <v>1</v>
      </c>
      <c r="CB8" s="50">
        <v>1</v>
      </c>
      <c r="CC8" s="50">
        <v>1</v>
      </c>
      <c r="CD8" s="50">
        <v>1</v>
      </c>
      <c r="CE8" s="50">
        <v>1</v>
      </c>
      <c r="CF8" s="50">
        <v>1</v>
      </c>
      <c r="CG8" s="50">
        <v>1</v>
      </c>
      <c r="CH8" s="50">
        <v>1</v>
      </c>
      <c r="CI8" s="46" t="str">
        <f>VLOOKUP(BK8,[2]ZDROJ!$A$2:$C$20,2,0)</f>
        <v>102020</v>
      </c>
      <c r="CJ8" s="54" t="s">
        <v>308</v>
      </c>
      <c r="CK8" s="54"/>
      <c r="CL8" s="46" t="s">
        <v>183</v>
      </c>
      <c r="CM8" s="46" t="s">
        <v>184</v>
      </c>
      <c r="CN8" s="55"/>
      <c r="CO8" s="55"/>
      <c r="CP8" s="14" t="s">
        <v>309</v>
      </c>
      <c r="CQ8" s="15" t="s">
        <v>310</v>
      </c>
      <c r="CR8" s="15" t="s">
        <v>311</v>
      </c>
      <c r="CS8" s="51" t="s">
        <v>312</v>
      </c>
      <c r="CT8" s="52">
        <v>176</v>
      </c>
      <c r="CU8" s="52">
        <v>168</v>
      </c>
      <c r="CV8" s="52">
        <v>160</v>
      </c>
      <c r="CW8" s="52">
        <v>176</v>
      </c>
      <c r="CX8" s="52">
        <v>176</v>
      </c>
      <c r="CY8" s="53">
        <v>176</v>
      </c>
    </row>
    <row r="9" spans="1:103" ht="17.25" customHeight="1" x14ac:dyDescent="0.25">
      <c r="C9" s="86" t="str">
        <f>PV_souhrnny!A4</f>
        <v>Rozvoj JU - ESF</v>
      </c>
      <c r="F9" s="1" t="s">
        <v>313</v>
      </c>
      <c r="G9" s="1"/>
      <c r="K9" s="2" t="s">
        <v>314</v>
      </c>
      <c r="L9" s="38">
        <v>56000</v>
      </c>
      <c r="M9" s="38">
        <v>390.69767441860461</v>
      </c>
      <c r="N9" s="39" t="s">
        <v>251</v>
      </c>
      <c r="O9" s="40" t="s">
        <v>129</v>
      </c>
      <c r="P9" s="40" t="s">
        <v>315</v>
      </c>
      <c r="Q9" s="40" t="s">
        <v>316</v>
      </c>
      <c r="R9" s="40" t="s">
        <v>202</v>
      </c>
      <c r="S9" s="40" t="s">
        <v>317</v>
      </c>
      <c r="T9" s="40" t="s">
        <v>318</v>
      </c>
      <c r="U9" s="41" t="s">
        <v>270</v>
      </c>
      <c r="V9" s="87" t="s">
        <v>319</v>
      </c>
      <c r="W9" s="88" t="s">
        <v>320</v>
      </c>
      <c r="X9" s="88"/>
      <c r="Y9" s="88"/>
      <c r="Z9" s="88"/>
      <c r="AA9" s="88"/>
      <c r="AB9" s="88" t="s">
        <v>321</v>
      </c>
      <c r="AC9" s="88" t="s">
        <v>322</v>
      </c>
      <c r="AD9" s="88"/>
      <c r="AE9" s="88"/>
      <c r="AF9" s="88"/>
      <c r="AG9" s="88"/>
      <c r="AH9" s="88" t="s">
        <v>323</v>
      </c>
      <c r="AI9" s="88" t="s">
        <v>324</v>
      </c>
      <c r="AJ9" s="88"/>
      <c r="AK9" s="89"/>
      <c r="AL9" s="88"/>
      <c r="AM9" s="89"/>
      <c r="AN9" s="90" t="str">
        <f t="shared" si="0"/>
        <v>Odborný řešitel - metodik 2</v>
      </c>
      <c r="AO9" s="91" t="str">
        <f t="shared" si="1"/>
        <v>1.1.1.2.1.7</v>
      </c>
      <c r="AP9" s="42">
        <f>IF([1]Dotazník!$L$7=ZDROJE!$D$5,AY9,(IF([1]Dotazník!$L$7=ZDROJE!$D$4,AV9,ZDROJE!AS9)))</f>
        <v>0</v>
      </c>
      <c r="AQ9" s="43">
        <f>IF([1]Dotazník!$L$7=ZDROJE!$D$5,AZ9,(IF([1]Dotazník!$L$7=ZDROJE!$D$4,AW9,ZDROJE!AT9)))</f>
        <v>0</v>
      </c>
      <c r="AR9" s="44">
        <f>IF([1]Dotazník!$L$7=ZDROJE!$D$5,BA9,(IF([1]Dotazník!$L$7=ZDROJE!$D$4,AX9,ZDROJE!AU9)))</f>
        <v>0</v>
      </c>
      <c r="AS9" s="43" t="s">
        <v>325</v>
      </c>
      <c r="AT9" s="43" t="s">
        <v>175</v>
      </c>
      <c r="AU9" s="43" t="s">
        <v>326</v>
      </c>
      <c r="AV9" s="43"/>
      <c r="AW9" s="43"/>
      <c r="AX9" s="43"/>
      <c r="AY9" s="43"/>
      <c r="AZ9" s="43"/>
      <c r="BA9" s="43"/>
      <c r="BB9" s="43">
        <f t="shared" si="2"/>
        <v>0</v>
      </c>
      <c r="BC9" s="43" t="str">
        <f>IF(([1]Dotazník!$L$10=ZDROJE!BM9)*AND([1]Dotazník!$AB$20=ZDROJE!BK9)*AND([1]Dotazník!$AB$21=ZDROJE!BJ9),ZDROJE!BP9,"chyba")</f>
        <v>chyba</v>
      </c>
      <c r="BD9" s="43">
        <f t="shared" si="3"/>
        <v>0</v>
      </c>
      <c r="BE9" s="43" t="str">
        <f>IF(([1]Dotazník!$L$10=ZDROJE!BM9)*AND([1]Dotazník!$AB$20=ZDROJE!BK9)*AND([1]Dotazník!$AB$21=ZDROJE!BJ9),ZDROJE!CI9,"chyba")</f>
        <v>chyba</v>
      </c>
      <c r="BF9" s="45" t="s">
        <v>327</v>
      </c>
      <c r="BG9" s="46">
        <v>622</v>
      </c>
      <c r="BH9" s="46" t="s">
        <v>43</v>
      </c>
      <c r="BI9" s="46" t="s">
        <v>179</v>
      </c>
      <c r="BJ9" s="46" t="s">
        <v>148</v>
      </c>
      <c r="BK9" s="46" t="s">
        <v>180</v>
      </c>
      <c r="BL9" s="46" t="s">
        <v>241</v>
      </c>
      <c r="BM9" s="47" t="s">
        <v>240</v>
      </c>
      <c r="BN9" s="46" t="s">
        <v>242</v>
      </c>
      <c r="BO9" s="46" t="s">
        <v>132</v>
      </c>
      <c r="BP9" s="48" t="str">
        <f t="shared" si="4"/>
        <v>622 Rozvoj ESF PN ZV KA2 DA2.1 REK</v>
      </c>
      <c r="BQ9" s="49" t="s">
        <v>157</v>
      </c>
      <c r="BR9" s="49" t="s">
        <v>266</v>
      </c>
      <c r="BS9" s="49" t="s">
        <v>267</v>
      </c>
      <c r="BT9" s="49" t="s">
        <v>256</v>
      </c>
      <c r="BU9" s="49"/>
      <c r="BV9" s="49" t="s">
        <v>269</v>
      </c>
      <c r="BW9" s="49" t="s">
        <v>270</v>
      </c>
      <c r="BX9" s="49" t="s">
        <v>271</v>
      </c>
      <c r="BY9" s="49" t="s">
        <v>272</v>
      </c>
      <c r="BZ9" s="50">
        <v>1</v>
      </c>
      <c r="CA9" s="50">
        <v>1</v>
      </c>
      <c r="CB9" s="50">
        <v>1</v>
      </c>
      <c r="CC9" s="50">
        <v>1</v>
      </c>
      <c r="CD9" s="50"/>
      <c r="CE9" s="50">
        <v>1</v>
      </c>
      <c r="CF9" s="50">
        <v>1</v>
      </c>
      <c r="CG9" s="50">
        <v>1</v>
      </c>
      <c r="CH9" s="50">
        <v>1</v>
      </c>
      <c r="CI9" s="46" t="str">
        <f>VLOOKUP(BK9,[2]ZDROJ!$A$2:$C$20,2,0)</f>
        <v>102020</v>
      </c>
      <c r="CJ9" s="46" t="s">
        <v>181</v>
      </c>
      <c r="CK9" s="46" t="s">
        <v>182</v>
      </c>
      <c r="CL9" s="46" t="s">
        <v>183</v>
      </c>
      <c r="CM9" s="46" t="s">
        <v>184</v>
      </c>
      <c r="CN9" s="55"/>
      <c r="CO9" s="55"/>
      <c r="CP9" s="14" t="s">
        <v>328</v>
      </c>
      <c r="CQ9" s="15" t="s">
        <v>329</v>
      </c>
      <c r="CR9" s="15" t="s">
        <v>330</v>
      </c>
      <c r="CS9" s="51" t="s">
        <v>331</v>
      </c>
      <c r="CT9" s="52">
        <v>168</v>
      </c>
      <c r="CU9" s="52">
        <v>176</v>
      </c>
      <c r="CV9" s="52">
        <v>184</v>
      </c>
      <c r="CW9" s="52">
        <v>184</v>
      </c>
      <c r="CX9" s="52">
        <v>176</v>
      </c>
      <c r="CY9" s="53">
        <v>168</v>
      </c>
    </row>
    <row r="10" spans="1:103" ht="17.25" customHeight="1" x14ac:dyDescent="0.25">
      <c r="C10" s="86" t="str">
        <f>PV_souhrnny!M6</f>
        <v>Pracovní smlouva</v>
      </c>
      <c r="K10" s="2" t="s">
        <v>332</v>
      </c>
      <c r="L10" s="38">
        <v>46000</v>
      </c>
      <c r="M10" s="38">
        <v>320.93023255813949</v>
      </c>
      <c r="N10" s="39" t="s">
        <v>251</v>
      </c>
      <c r="O10" s="40" t="s">
        <v>130</v>
      </c>
      <c r="P10" s="40" t="s">
        <v>333</v>
      </c>
      <c r="Q10" s="40" t="s">
        <v>334</v>
      </c>
      <c r="R10" s="40" t="s">
        <v>202</v>
      </c>
      <c r="S10" s="40" t="s">
        <v>335</v>
      </c>
      <c r="T10" s="40" t="s">
        <v>336</v>
      </c>
      <c r="U10" s="41" t="s">
        <v>271</v>
      </c>
      <c r="V10" s="87" t="s">
        <v>337</v>
      </c>
      <c r="W10" s="88" t="s">
        <v>338</v>
      </c>
      <c r="X10" s="88"/>
      <c r="Y10" s="88"/>
      <c r="Z10" s="88"/>
      <c r="AA10" s="88"/>
      <c r="AB10" s="88" t="s">
        <v>339</v>
      </c>
      <c r="AC10" s="88" t="s">
        <v>340</v>
      </c>
      <c r="AD10" s="88"/>
      <c r="AE10" s="88"/>
      <c r="AF10" s="88"/>
      <c r="AG10" s="88"/>
      <c r="AH10" s="88" t="s">
        <v>341</v>
      </c>
      <c r="AI10" s="88" t="s">
        <v>342</v>
      </c>
      <c r="AJ10" s="88"/>
      <c r="AK10" s="89"/>
      <c r="AL10" s="88"/>
      <c r="AM10" s="89"/>
      <c r="AN10" s="90" t="str">
        <f t="shared" si="0"/>
        <v>Odborný řešitel - metodik</v>
      </c>
      <c r="AO10" s="91" t="str">
        <f t="shared" si="1"/>
        <v>1.1.1.2.1.8</v>
      </c>
      <c r="AP10" s="42">
        <f>IF([1]Dotazník!$L$7=ZDROJE!$D$5,AY10,(IF([1]Dotazník!$L$7=ZDROJE!$D$4,AV10,ZDROJE!AS10)))</f>
        <v>0</v>
      </c>
      <c r="AQ10" s="43">
        <f>IF([1]Dotazník!$L$7=ZDROJE!$D$5,AZ10,(IF([1]Dotazník!$L$7=ZDROJE!$D$4,AW10,ZDROJE!AT10)))</f>
        <v>0</v>
      </c>
      <c r="AR10" s="44">
        <f>IF([1]Dotazník!$L$7=ZDROJE!$D$5,BA10,(IF([1]Dotazník!$L$7=ZDROJE!$D$4,AX10,ZDROJE!AU10)))</f>
        <v>0</v>
      </c>
      <c r="AS10" s="43" t="s">
        <v>343</v>
      </c>
      <c r="AT10" s="43" t="s">
        <v>175</v>
      </c>
      <c r="AU10" s="43" t="s">
        <v>344</v>
      </c>
      <c r="AV10" s="43"/>
      <c r="AW10" s="43"/>
      <c r="AX10" s="43"/>
      <c r="AY10" s="43"/>
      <c r="AZ10" s="43"/>
      <c r="BA10" s="43"/>
      <c r="BB10" s="43">
        <f t="shared" si="2"/>
        <v>0</v>
      </c>
      <c r="BC10" s="43" t="str">
        <f>IF(([1]Dotazník!$L$10=ZDROJE!BM10)*AND([1]Dotazník!$AB$20=ZDROJE!BK10)*AND([1]Dotazník!$AB$21=ZDROJE!BJ10),ZDROJE!BP10,"chyba")</f>
        <v>chyba</v>
      </c>
      <c r="BD10" s="43">
        <f t="shared" si="3"/>
        <v>0</v>
      </c>
      <c r="BE10" s="43" t="str">
        <f>IF(([1]Dotazník!$L$10=ZDROJE!BM10)*AND([1]Dotazník!$AB$20=ZDROJE!BK10)*AND([1]Dotazník!$AB$21=ZDROJE!BJ10),ZDROJE!CI10,"chyba")</f>
        <v>chyba</v>
      </c>
      <c r="BF10" s="45" t="s">
        <v>345</v>
      </c>
      <c r="BG10" s="46">
        <v>622</v>
      </c>
      <c r="BH10" s="46" t="s">
        <v>43</v>
      </c>
      <c r="BI10" s="46" t="s">
        <v>179</v>
      </c>
      <c r="BJ10" s="46" t="s">
        <v>148</v>
      </c>
      <c r="BK10" s="46" t="s">
        <v>217</v>
      </c>
      <c r="BL10" s="46" t="s">
        <v>241</v>
      </c>
      <c r="BM10" s="47" t="s">
        <v>240</v>
      </c>
      <c r="BN10" s="46" t="s">
        <v>242</v>
      </c>
      <c r="BO10" s="46" t="s">
        <v>132</v>
      </c>
      <c r="BP10" s="48" t="str">
        <f t="shared" si="4"/>
        <v>622 Rozvoj ESF PN NV KA2 DA2.1 REK</v>
      </c>
      <c r="BQ10" s="49" t="s">
        <v>157</v>
      </c>
      <c r="BR10" s="49" t="s">
        <v>266</v>
      </c>
      <c r="BS10" s="49" t="s">
        <v>267</v>
      </c>
      <c r="BT10" s="49" t="s">
        <v>256</v>
      </c>
      <c r="BU10" s="49"/>
      <c r="BV10" s="49" t="s">
        <v>269</v>
      </c>
      <c r="BW10" s="49" t="s">
        <v>270</v>
      </c>
      <c r="BX10" s="49" t="s">
        <v>271</v>
      </c>
      <c r="BY10" s="49" t="s">
        <v>272</v>
      </c>
      <c r="BZ10" s="50">
        <v>1</v>
      </c>
      <c r="CA10" s="50">
        <v>1</v>
      </c>
      <c r="CB10" s="50">
        <v>1</v>
      </c>
      <c r="CC10" s="50">
        <v>1</v>
      </c>
      <c r="CD10" s="50"/>
      <c r="CE10" s="50">
        <v>1</v>
      </c>
      <c r="CF10" s="50">
        <v>1</v>
      </c>
      <c r="CG10" s="50">
        <v>1</v>
      </c>
      <c r="CH10" s="50">
        <v>1</v>
      </c>
      <c r="CI10" s="46" t="str">
        <f>VLOOKUP(BK10,[2]ZDROJ!$A$2:$C$20,2,0)</f>
        <v>102031</v>
      </c>
      <c r="CJ10" s="46" t="s">
        <v>181</v>
      </c>
      <c r="CK10" s="46" t="s">
        <v>182</v>
      </c>
      <c r="CL10" s="46" t="s">
        <v>183</v>
      </c>
      <c r="CM10" s="46" t="s">
        <v>184</v>
      </c>
      <c r="CN10" s="55"/>
      <c r="CO10" s="55"/>
      <c r="CQ10" s="15" t="s">
        <v>346</v>
      </c>
      <c r="CR10" s="15" t="s">
        <v>347</v>
      </c>
      <c r="CS10" s="51" t="s">
        <v>348</v>
      </c>
      <c r="CT10" s="52">
        <v>184</v>
      </c>
      <c r="CU10" s="52">
        <v>184</v>
      </c>
      <c r="CV10" s="52">
        <v>176</v>
      </c>
      <c r="CW10" s="52">
        <v>168</v>
      </c>
      <c r="CX10" s="52">
        <v>176</v>
      </c>
      <c r="CY10" s="53">
        <v>184</v>
      </c>
    </row>
    <row r="11" spans="1:103" ht="17.25" customHeight="1" x14ac:dyDescent="0.25">
      <c r="K11" s="2" t="s">
        <v>257</v>
      </c>
      <c r="L11" s="38">
        <v>41000</v>
      </c>
      <c r="M11" s="38">
        <v>286.04651162790697</v>
      </c>
      <c r="N11" s="39" t="s">
        <v>251</v>
      </c>
      <c r="O11" s="40" t="s">
        <v>131</v>
      </c>
      <c r="P11" s="40" t="s">
        <v>349</v>
      </c>
      <c r="Q11" s="40" t="s">
        <v>350</v>
      </c>
      <c r="R11" s="40" t="s">
        <v>202</v>
      </c>
      <c r="S11" s="40" t="s">
        <v>351</v>
      </c>
      <c r="T11" s="40" t="s">
        <v>352</v>
      </c>
      <c r="U11" s="41" t="s">
        <v>272</v>
      </c>
      <c r="V11" s="87" t="s">
        <v>353</v>
      </c>
      <c r="W11" s="88" t="s">
        <v>354</v>
      </c>
      <c r="X11" s="88"/>
      <c r="Y11" s="88"/>
      <c r="Z11" s="88"/>
      <c r="AA11" s="88"/>
      <c r="AB11" s="88" t="s">
        <v>355</v>
      </c>
      <c r="AC11" s="88" t="s">
        <v>356</v>
      </c>
      <c r="AD11" s="88"/>
      <c r="AE11" s="88"/>
      <c r="AF11" s="88"/>
      <c r="AG11" s="88"/>
      <c r="AH11" s="88" t="s">
        <v>301</v>
      </c>
      <c r="AI11" s="88" t="s">
        <v>357</v>
      </c>
      <c r="AJ11" s="88"/>
      <c r="AK11" s="89"/>
      <c r="AL11" s="88"/>
      <c r="AM11" s="89"/>
      <c r="AN11" s="90" t="str">
        <f t="shared" si="0"/>
        <v>Odborný řešitel - mentor</v>
      </c>
      <c r="AO11" s="91" t="str">
        <f t="shared" si="1"/>
        <v>1.1.1.2.1.9</v>
      </c>
      <c r="AP11" s="42">
        <f>IF([1]Dotazník!$L$7=ZDROJE!$D$5,AY11,(IF([1]Dotazník!$L$7=ZDROJE!$D$4,AV11,ZDROJE!AS11)))</f>
        <v>0</v>
      </c>
      <c r="AQ11" s="43">
        <f>IF([1]Dotazník!$L$7=ZDROJE!$D$5,AZ11,(IF([1]Dotazník!$L$7=ZDROJE!$D$4,AW11,ZDROJE!AT11)))</f>
        <v>0</v>
      </c>
      <c r="AR11" s="44">
        <f>IF([1]Dotazník!$L$7=ZDROJE!$D$5,BA11,(IF([1]Dotazník!$L$7=ZDROJE!$D$4,AX11,ZDROJE!AU11)))</f>
        <v>0</v>
      </c>
      <c r="AS11" s="43" t="s">
        <v>358</v>
      </c>
      <c r="AT11" s="43" t="s">
        <v>359</v>
      </c>
      <c r="AU11" s="43" t="s">
        <v>360</v>
      </c>
      <c r="AV11" s="43"/>
      <c r="AW11" s="43"/>
      <c r="AX11" s="43"/>
      <c r="AY11" s="43"/>
      <c r="AZ11" s="43"/>
      <c r="BA11" s="43"/>
      <c r="BB11" s="43">
        <f t="shared" si="2"/>
        <v>0</v>
      </c>
      <c r="BC11" s="43" t="str">
        <f>IF(([1]Dotazník!$L$10=ZDROJE!BM11)*AND([1]Dotazník!$AB$20=ZDROJE!BK11)*AND([1]Dotazník!$AB$21=ZDROJE!BJ11),ZDROJE!BP11,"chyba")</f>
        <v>chyba</v>
      </c>
      <c r="BD11" s="43">
        <f t="shared" si="3"/>
        <v>0</v>
      </c>
      <c r="BE11" s="43" t="str">
        <f>IF(([1]Dotazník!$L$10=ZDROJE!BM11)*AND([1]Dotazník!$AB$20=ZDROJE!BK11)*AND([1]Dotazník!$AB$21=ZDROJE!BJ11),ZDROJE!CI11,"chyba")</f>
        <v>chyba</v>
      </c>
      <c r="BF11" s="45" t="s">
        <v>361</v>
      </c>
      <c r="BG11" s="46">
        <v>622</v>
      </c>
      <c r="BH11" s="46" t="s">
        <v>43</v>
      </c>
      <c r="BI11" s="46" t="s">
        <v>179</v>
      </c>
      <c r="BJ11" s="46" t="s">
        <v>196</v>
      </c>
      <c r="BK11" s="46" t="s">
        <v>180</v>
      </c>
      <c r="BL11" s="46" t="s">
        <v>241</v>
      </c>
      <c r="BM11" s="47" t="s">
        <v>240</v>
      </c>
      <c r="BN11" s="46" t="s">
        <v>242</v>
      </c>
      <c r="BO11" s="46" t="s">
        <v>132</v>
      </c>
      <c r="BP11" s="48" t="str">
        <f t="shared" si="4"/>
        <v>622 Rozvoj ESF PaN ZV KA2 DA2.1 REK</v>
      </c>
      <c r="BQ11" s="49" t="s">
        <v>157</v>
      </c>
      <c r="BR11" s="49" t="s">
        <v>266</v>
      </c>
      <c r="BS11" s="49" t="s">
        <v>267</v>
      </c>
      <c r="BT11" s="49" t="s">
        <v>256</v>
      </c>
      <c r="BU11" s="49"/>
      <c r="BV11" s="49" t="s">
        <v>269</v>
      </c>
      <c r="BW11" s="49" t="s">
        <v>270</v>
      </c>
      <c r="BX11" s="49" t="s">
        <v>271</v>
      </c>
      <c r="BY11" s="49" t="s">
        <v>272</v>
      </c>
      <c r="BZ11" s="50">
        <v>1</v>
      </c>
      <c r="CA11" s="50">
        <v>1</v>
      </c>
      <c r="CB11" s="50">
        <v>1</v>
      </c>
      <c r="CC11" s="50">
        <v>1</v>
      </c>
      <c r="CD11" s="50"/>
      <c r="CE11" s="50">
        <v>1</v>
      </c>
      <c r="CF11" s="50">
        <v>1</v>
      </c>
      <c r="CG11" s="50">
        <v>1</v>
      </c>
      <c r="CH11" s="50">
        <v>1</v>
      </c>
      <c r="CI11" s="46" t="str">
        <f>VLOOKUP(BK11,[2]ZDROJ!$A$2:$C$20,2,0)</f>
        <v>102020</v>
      </c>
      <c r="CJ11" s="54" t="s">
        <v>362</v>
      </c>
      <c r="CK11" s="54"/>
      <c r="CL11" s="46" t="s">
        <v>183</v>
      </c>
      <c r="CM11" s="46" t="s">
        <v>184</v>
      </c>
      <c r="CN11" s="55"/>
      <c r="CO11" s="55"/>
      <c r="CQ11" s="15" t="s">
        <v>363</v>
      </c>
      <c r="CR11" s="15" t="s">
        <v>364</v>
      </c>
      <c r="CS11" s="51" t="s">
        <v>365</v>
      </c>
      <c r="CT11" s="52">
        <v>168</v>
      </c>
      <c r="CU11" s="52">
        <v>160</v>
      </c>
      <c r="CV11" s="52">
        <v>168</v>
      </c>
      <c r="CW11" s="52">
        <v>176</v>
      </c>
      <c r="CX11" s="52">
        <v>176</v>
      </c>
      <c r="CY11" s="53">
        <v>176</v>
      </c>
    </row>
    <row r="12" spans="1:103" ht="17.25" customHeight="1" x14ac:dyDescent="0.25">
      <c r="K12" s="2" t="s">
        <v>234</v>
      </c>
      <c r="L12" s="38">
        <v>33000</v>
      </c>
      <c r="M12" s="38">
        <v>230.23255813953486</v>
      </c>
      <c r="N12" s="39" t="s">
        <v>251</v>
      </c>
      <c r="V12" s="87" t="s">
        <v>150</v>
      </c>
      <c r="W12" s="88" t="s">
        <v>366</v>
      </c>
      <c r="X12" s="88"/>
      <c r="Y12" s="88"/>
      <c r="Z12" s="88"/>
      <c r="AA12" s="88"/>
      <c r="AB12" s="88" t="s">
        <v>367</v>
      </c>
      <c r="AC12" s="88" t="s">
        <v>368</v>
      </c>
      <c r="AD12" s="88"/>
      <c r="AE12" s="88"/>
      <c r="AF12" s="88"/>
      <c r="AG12" s="88"/>
      <c r="AH12" s="88"/>
      <c r="AI12" s="88"/>
      <c r="AJ12" s="88"/>
      <c r="AK12" s="89"/>
      <c r="AL12" s="88"/>
      <c r="AM12" s="89"/>
      <c r="AN12" s="90" t="str">
        <f t="shared" si="0"/>
        <v>Odborný řešitel - garant aktivity</v>
      </c>
      <c r="AO12" s="91" t="str">
        <f t="shared" si="1"/>
        <v>1.1.1.2.1.10</v>
      </c>
      <c r="AP12" s="42">
        <f>IF([1]Dotazník!$L$7=ZDROJE!$D$5,AY12,(IF([1]Dotazník!$L$7=ZDROJE!$D$4,AV12,ZDROJE!AS12)))</f>
        <v>0</v>
      </c>
      <c r="AQ12" s="43">
        <f>IF([1]Dotazník!$L$7=ZDROJE!$D$5,AZ12,(IF([1]Dotazník!$L$7=ZDROJE!$D$4,AW12,ZDROJE!AT12)))</f>
        <v>0</v>
      </c>
      <c r="AR12" s="44">
        <f>IF([1]Dotazník!$L$7=ZDROJE!$D$5,BA12,(IF([1]Dotazník!$L$7=ZDROJE!$D$4,AX12,ZDROJE!AU12)))</f>
        <v>0</v>
      </c>
      <c r="AS12" s="43" t="s">
        <v>369</v>
      </c>
      <c r="AT12" s="43" t="s">
        <v>370</v>
      </c>
      <c r="AU12" s="43" t="s">
        <v>371</v>
      </c>
      <c r="AV12" s="43"/>
      <c r="AW12" s="43"/>
      <c r="AX12" s="43"/>
      <c r="AY12" s="43"/>
      <c r="AZ12" s="43"/>
      <c r="BA12" s="43"/>
      <c r="BB12" s="43">
        <f t="shared" si="2"/>
        <v>0</v>
      </c>
      <c r="BC12" s="43" t="str">
        <f>IF(([1]Dotazník!$L$10=ZDROJE!BM12)*AND([1]Dotazník!$AB$20=ZDROJE!BK12)*AND([1]Dotazník!$AB$21=ZDROJE!BJ12),ZDROJE!BP12,"chyba")</f>
        <v>chyba</v>
      </c>
      <c r="BD12" s="43">
        <f t="shared" si="3"/>
        <v>0</v>
      </c>
      <c r="BE12" s="43" t="str">
        <f>IF(([1]Dotazník!$L$10=ZDROJE!BM12)*AND([1]Dotazník!$AB$20=ZDROJE!BK12)*AND([1]Dotazník!$AB$21=ZDROJE!BJ12),ZDROJE!CI12,"chyba")</f>
        <v>chyba</v>
      </c>
      <c r="BF12" s="45" t="s">
        <v>372</v>
      </c>
      <c r="BG12" s="46">
        <v>622</v>
      </c>
      <c r="BH12" s="46" t="s">
        <v>43</v>
      </c>
      <c r="BI12" s="46" t="s">
        <v>179</v>
      </c>
      <c r="BJ12" s="46" t="s">
        <v>148</v>
      </c>
      <c r="BK12" s="46" t="s">
        <v>180</v>
      </c>
      <c r="BL12" s="46" t="s">
        <v>241</v>
      </c>
      <c r="BM12" s="47" t="s">
        <v>263</v>
      </c>
      <c r="BN12" s="46" t="s">
        <v>264</v>
      </c>
      <c r="BO12" s="46" t="s">
        <v>132</v>
      </c>
      <c r="BP12" s="48" t="str">
        <f t="shared" si="4"/>
        <v>622 Rozvoj ESF PN ZV KA2 DA2.2 REK</v>
      </c>
      <c r="BQ12" s="49" t="s">
        <v>157</v>
      </c>
      <c r="BR12" s="49" t="s">
        <v>266</v>
      </c>
      <c r="BS12" s="49" t="s">
        <v>267</v>
      </c>
      <c r="BT12" s="49" t="s">
        <v>256</v>
      </c>
      <c r="BU12" s="49"/>
      <c r="BV12" s="49" t="s">
        <v>269</v>
      </c>
      <c r="BW12" s="49" t="s">
        <v>270</v>
      </c>
      <c r="BX12" s="49" t="s">
        <v>271</v>
      </c>
      <c r="BY12" s="49" t="s">
        <v>272</v>
      </c>
      <c r="BZ12" s="50">
        <v>1</v>
      </c>
      <c r="CA12" s="50">
        <v>1</v>
      </c>
      <c r="CB12" s="50">
        <v>1</v>
      </c>
      <c r="CC12" s="50">
        <v>1</v>
      </c>
      <c r="CD12" s="50"/>
      <c r="CE12" s="50">
        <v>1</v>
      </c>
      <c r="CF12" s="50">
        <v>1</v>
      </c>
      <c r="CG12" s="50">
        <v>1</v>
      </c>
      <c r="CH12" s="50">
        <v>1</v>
      </c>
      <c r="CI12" s="46" t="str">
        <f>VLOOKUP(BK12,[2]ZDROJ!$A$2:$C$20,2,0)</f>
        <v>102020</v>
      </c>
      <c r="CJ12" s="46" t="s">
        <v>181</v>
      </c>
      <c r="CK12" s="46" t="s">
        <v>182</v>
      </c>
      <c r="CL12" s="46" t="s">
        <v>183</v>
      </c>
      <c r="CM12" s="46" t="s">
        <v>184</v>
      </c>
      <c r="CN12" s="55"/>
      <c r="CO12" s="55"/>
      <c r="CQ12" s="15" t="s">
        <v>373</v>
      </c>
      <c r="CR12" s="15" t="s">
        <v>374</v>
      </c>
      <c r="CS12" s="51" t="s">
        <v>375</v>
      </c>
      <c r="CT12" s="52">
        <v>176</v>
      </c>
      <c r="CU12" s="52">
        <v>184</v>
      </c>
      <c r="CV12" s="52">
        <v>184</v>
      </c>
      <c r="CW12" s="52">
        <v>176</v>
      </c>
      <c r="CX12" s="52">
        <v>168</v>
      </c>
      <c r="CY12" s="53">
        <v>168</v>
      </c>
    </row>
    <row r="13" spans="1:103" ht="17.25" customHeight="1" thickBot="1" x14ac:dyDescent="0.3">
      <c r="K13" s="2" t="s">
        <v>376</v>
      </c>
      <c r="L13" s="38">
        <v>26000</v>
      </c>
      <c r="M13" s="38">
        <v>181.3953488372093</v>
      </c>
      <c r="N13" s="39" t="s">
        <v>251</v>
      </c>
      <c r="V13" s="87" t="s">
        <v>230</v>
      </c>
      <c r="W13" s="88" t="s">
        <v>377</v>
      </c>
      <c r="X13" s="88"/>
      <c r="Y13" s="88"/>
      <c r="Z13" s="88"/>
      <c r="AA13" s="88"/>
      <c r="AB13" s="88" t="s">
        <v>378</v>
      </c>
      <c r="AC13" s="88" t="s">
        <v>379</v>
      </c>
      <c r="AD13" s="88"/>
      <c r="AE13" s="88"/>
      <c r="AF13" s="88"/>
      <c r="AG13" s="88"/>
      <c r="AH13" s="88"/>
      <c r="AI13" s="88"/>
      <c r="AJ13" s="88"/>
      <c r="AK13" s="89"/>
      <c r="AL13" s="88"/>
      <c r="AM13" s="89"/>
      <c r="AN13" s="90" t="str">
        <f t="shared" si="0"/>
        <v>Odborný řešitel - fakultní garant 2</v>
      </c>
      <c r="AO13" s="91" t="str">
        <f t="shared" si="1"/>
        <v>1.1.1.2.1.11</v>
      </c>
      <c r="AP13" s="56">
        <f>IF([1]Dotazník!$L$7=ZDROJE!$D$5,AY13,(IF([1]Dotazník!$L$7=ZDROJE!$D$4,AV13,ZDROJE!AS13)))</f>
        <v>0</v>
      </c>
      <c r="AQ13" s="57">
        <f>IF([1]Dotazník!$L$7=ZDROJE!$D$5,AZ13,(IF([1]Dotazník!$L$7=ZDROJE!$D$4,AW13,ZDROJE!AT13)))</f>
        <v>0</v>
      </c>
      <c r="AR13" s="58">
        <f>IF([1]Dotazník!$L$7=ZDROJE!$D$5,BA13,(IF([1]Dotazník!$L$7=ZDROJE!$D$4,AX13,ZDROJE!AU13)))</f>
        <v>0</v>
      </c>
      <c r="AS13" s="43" t="s">
        <v>380</v>
      </c>
      <c r="AT13" s="43" t="s">
        <v>381</v>
      </c>
      <c r="AU13" s="43" t="s">
        <v>382</v>
      </c>
      <c r="AV13" s="43"/>
      <c r="AW13" s="43"/>
      <c r="AX13" s="43"/>
      <c r="AY13" s="43"/>
      <c r="AZ13" s="43"/>
      <c r="BA13" s="43"/>
      <c r="BB13" s="43">
        <f t="shared" si="2"/>
        <v>0</v>
      </c>
      <c r="BC13" s="43" t="str">
        <f>IF(([1]Dotazník!$L$10=ZDROJE!BM13)*AND([1]Dotazník!$AB$20=ZDROJE!BK13)*AND([1]Dotazník!$AB$21=ZDROJE!BJ13),ZDROJE!BP13,"chyba")</f>
        <v>chyba</v>
      </c>
      <c r="BD13" s="43">
        <f t="shared" si="3"/>
        <v>0</v>
      </c>
      <c r="BE13" s="43" t="str">
        <f>IF(([1]Dotazník!$L$10=ZDROJE!BM13)*AND([1]Dotazník!$AB$20=ZDROJE!BK13)*AND([1]Dotazník!$AB$21=ZDROJE!BJ13),ZDROJE!CI13,"chyba")</f>
        <v>chyba</v>
      </c>
      <c r="BF13" s="45" t="s">
        <v>383</v>
      </c>
      <c r="BG13" s="46">
        <v>622</v>
      </c>
      <c r="BH13" s="46" t="s">
        <v>43</v>
      </c>
      <c r="BI13" s="46" t="s">
        <v>179</v>
      </c>
      <c r="BJ13" s="46" t="s">
        <v>148</v>
      </c>
      <c r="BK13" s="46" t="s">
        <v>217</v>
      </c>
      <c r="BL13" s="46" t="s">
        <v>241</v>
      </c>
      <c r="BM13" s="47" t="s">
        <v>263</v>
      </c>
      <c r="BN13" s="46" t="s">
        <v>264</v>
      </c>
      <c r="BO13" s="46" t="s">
        <v>132</v>
      </c>
      <c r="BP13" s="48" t="str">
        <f t="shared" si="4"/>
        <v>622 Rozvoj ESF PN NV KA2 DA2.2 REK</v>
      </c>
      <c r="BQ13" s="49" t="s">
        <v>157</v>
      </c>
      <c r="BR13" s="49" t="s">
        <v>266</v>
      </c>
      <c r="BS13" s="49" t="s">
        <v>267</v>
      </c>
      <c r="BT13" s="49" t="s">
        <v>256</v>
      </c>
      <c r="BU13" s="49"/>
      <c r="BV13" s="49" t="s">
        <v>269</v>
      </c>
      <c r="BW13" s="49" t="s">
        <v>270</v>
      </c>
      <c r="BX13" s="49" t="s">
        <v>271</v>
      </c>
      <c r="BY13" s="49" t="s">
        <v>272</v>
      </c>
      <c r="BZ13" s="50">
        <v>1</v>
      </c>
      <c r="CA13" s="50">
        <v>1</v>
      </c>
      <c r="CB13" s="50">
        <v>1</v>
      </c>
      <c r="CC13" s="50">
        <v>1</v>
      </c>
      <c r="CD13" s="50"/>
      <c r="CE13" s="50">
        <v>1</v>
      </c>
      <c r="CF13" s="50">
        <v>1</v>
      </c>
      <c r="CG13" s="50">
        <v>1</v>
      </c>
      <c r="CH13" s="50">
        <v>1</v>
      </c>
      <c r="CI13" s="46" t="str">
        <f>VLOOKUP(BK13,[2]ZDROJ!$A$2:$C$20,2,0)</f>
        <v>102031</v>
      </c>
      <c r="CJ13" s="46" t="s">
        <v>181</v>
      </c>
      <c r="CK13" s="46" t="s">
        <v>182</v>
      </c>
      <c r="CL13" s="46" t="s">
        <v>183</v>
      </c>
      <c r="CM13" s="46" t="s">
        <v>184</v>
      </c>
      <c r="CN13" s="55"/>
      <c r="CO13" s="55"/>
      <c r="CQ13" s="15" t="s">
        <v>384</v>
      </c>
      <c r="CR13" s="15" t="s">
        <v>385</v>
      </c>
      <c r="CS13" s="51" t="s">
        <v>386</v>
      </c>
      <c r="CT13" s="52">
        <v>176</v>
      </c>
      <c r="CU13" s="52">
        <v>176</v>
      </c>
      <c r="CV13" s="52">
        <v>168</v>
      </c>
      <c r="CW13" s="52">
        <v>168</v>
      </c>
      <c r="CX13" s="52">
        <v>176</v>
      </c>
      <c r="CY13" s="53">
        <v>176</v>
      </c>
    </row>
    <row r="14" spans="1:103" ht="17.25" customHeight="1" thickTop="1" thickBot="1" x14ac:dyDescent="0.3">
      <c r="K14" s="2" t="s">
        <v>162</v>
      </c>
      <c r="L14" s="38">
        <v>72800</v>
      </c>
      <c r="M14" s="38">
        <v>507.90697674418601</v>
      </c>
      <c r="N14" s="39" t="s">
        <v>251</v>
      </c>
      <c r="V14" s="87" t="s">
        <v>198</v>
      </c>
      <c r="W14" s="88" t="s">
        <v>387</v>
      </c>
      <c r="X14" s="88"/>
      <c r="Y14" s="88"/>
      <c r="Z14" s="88"/>
      <c r="AA14" s="88"/>
      <c r="AB14" s="88" t="s">
        <v>388</v>
      </c>
      <c r="AC14" s="88" t="s">
        <v>389</v>
      </c>
      <c r="AD14" s="88"/>
      <c r="AE14" s="88"/>
      <c r="AF14" s="88"/>
      <c r="AG14" s="88"/>
      <c r="AH14" s="88"/>
      <c r="AI14" s="88"/>
      <c r="AJ14" s="88"/>
      <c r="AK14" s="89"/>
      <c r="AL14" s="88"/>
      <c r="AM14" s="89"/>
      <c r="AN14" s="90" t="str">
        <f t="shared" si="0"/>
        <v>Odborný řešitel - fakultní garant 1</v>
      </c>
      <c r="AO14" s="91" t="str">
        <f t="shared" si="1"/>
        <v>1.1.1.2.1.12</v>
      </c>
      <c r="BB14" s="43">
        <f t="shared" si="2"/>
        <v>0</v>
      </c>
      <c r="BC14" s="43" t="str">
        <f>IF(([1]Dotazník!$L$10=ZDROJE!BM14)*AND([1]Dotazník!$AB$20=ZDROJE!BK14)*AND([1]Dotazník!$AB$21=ZDROJE!BJ14),ZDROJE!BP14,"chyba")</f>
        <v>chyba</v>
      </c>
      <c r="BD14" s="43">
        <f t="shared" si="3"/>
        <v>0</v>
      </c>
      <c r="BE14" s="43" t="str">
        <f>IF(([1]Dotazník!$L$10=ZDROJE!BM14)*AND([1]Dotazník!$AB$20=ZDROJE!BK14)*AND([1]Dotazník!$AB$21=ZDROJE!BJ14),ZDROJE!CI14,"chyba")</f>
        <v>chyba</v>
      </c>
      <c r="BF14" s="45" t="s">
        <v>390</v>
      </c>
      <c r="BG14" s="46">
        <v>622</v>
      </c>
      <c r="BH14" s="46" t="s">
        <v>43</v>
      </c>
      <c r="BI14" s="46" t="s">
        <v>179</v>
      </c>
      <c r="BJ14" s="46" t="s">
        <v>196</v>
      </c>
      <c r="BK14" s="46" t="s">
        <v>180</v>
      </c>
      <c r="BL14" s="46" t="s">
        <v>241</v>
      </c>
      <c r="BM14" s="47" t="s">
        <v>263</v>
      </c>
      <c r="BN14" s="46" t="s">
        <v>264</v>
      </c>
      <c r="BO14" s="46" t="s">
        <v>132</v>
      </c>
      <c r="BP14" s="48" t="str">
        <f t="shared" si="4"/>
        <v>622 Rozvoj ESF PaN ZV KA2 DA2.2 REK</v>
      </c>
      <c r="BQ14" s="49" t="s">
        <v>157</v>
      </c>
      <c r="BR14" s="49"/>
      <c r="BS14" s="49"/>
      <c r="BT14" s="49"/>
      <c r="BU14" s="49"/>
      <c r="BV14" s="49"/>
      <c r="BW14" s="49"/>
      <c r="BX14" s="49"/>
      <c r="BY14" s="49"/>
      <c r="BZ14" s="50">
        <v>1</v>
      </c>
      <c r="CA14" s="50"/>
      <c r="CB14" s="50"/>
      <c r="CC14" s="50"/>
      <c r="CD14" s="50"/>
      <c r="CE14" s="50"/>
      <c r="CF14" s="50"/>
      <c r="CG14" s="50"/>
      <c r="CH14" s="50"/>
      <c r="CI14" s="46" t="str">
        <f>VLOOKUP(BK14,[2]ZDROJ!$A$2:$C$20,2,0)</f>
        <v>102020</v>
      </c>
      <c r="CJ14" s="54" t="s">
        <v>362</v>
      </c>
      <c r="CK14" s="54"/>
      <c r="CL14" s="46" t="s">
        <v>183</v>
      </c>
      <c r="CM14" s="46" t="s">
        <v>184</v>
      </c>
      <c r="CN14" s="55"/>
      <c r="CO14" s="55"/>
      <c r="CQ14" s="15" t="s">
        <v>391</v>
      </c>
      <c r="CR14" s="15" t="s">
        <v>392</v>
      </c>
      <c r="CS14" s="59" t="s">
        <v>393</v>
      </c>
      <c r="CT14" s="60">
        <v>168</v>
      </c>
      <c r="CU14" s="60">
        <v>168</v>
      </c>
      <c r="CV14" s="60">
        <v>176</v>
      </c>
      <c r="CW14" s="60">
        <v>184</v>
      </c>
      <c r="CX14" s="60">
        <v>184</v>
      </c>
      <c r="CY14" s="61">
        <v>176</v>
      </c>
    </row>
    <row r="15" spans="1:103" ht="17.25" customHeight="1" x14ac:dyDescent="0.25">
      <c r="K15" s="2" t="s">
        <v>160</v>
      </c>
      <c r="L15" s="38">
        <v>27000</v>
      </c>
      <c r="M15" s="38">
        <v>188.37209302325581</v>
      </c>
      <c r="N15" s="39" t="s">
        <v>251</v>
      </c>
      <c r="V15" s="87" t="s">
        <v>332</v>
      </c>
      <c r="W15" s="88" t="s">
        <v>394</v>
      </c>
      <c r="X15" s="88"/>
      <c r="Y15" s="88"/>
      <c r="Z15" s="88"/>
      <c r="AA15" s="88"/>
      <c r="AB15" s="88" t="s">
        <v>395</v>
      </c>
      <c r="AC15" s="88" t="s">
        <v>396</v>
      </c>
      <c r="AD15" s="88"/>
      <c r="AE15" s="88"/>
      <c r="AF15" s="88"/>
      <c r="AG15" s="88"/>
      <c r="AH15" s="88"/>
      <c r="AI15" s="88"/>
      <c r="AJ15" s="88"/>
      <c r="AK15" s="89"/>
      <c r="AL15" s="88"/>
      <c r="AM15" s="89"/>
      <c r="AN15" s="90" t="str">
        <f t="shared" si="0"/>
        <v>Odborný řešitel - docent 2</v>
      </c>
      <c r="AO15" s="91" t="str">
        <f t="shared" si="1"/>
        <v>1.1.1.2.1.13</v>
      </c>
      <c r="BB15" s="43">
        <f t="shared" si="2"/>
        <v>0</v>
      </c>
      <c r="BC15" s="43" t="str">
        <f>IF(([1]Dotazník!$L$10=ZDROJE!BM15)*AND([1]Dotazník!$AB$20=ZDROJE!BK15)*AND([1]Dotazník!$AB$21=ZDROJE!BJ15),ZDROJE!BP15,"chyba")</f>
        <v>chyba</v>
      </c>
      <c r="BD15" s="43">
        <f t="shared" si="3"/>
        <v>0</v>
      </c>
      <c r="BE15" s="43" t="str">
        <f>IF(([1]Dotazník!$L$10=ZDROJE!BM15)*AND([1]Dotazník!$AB$20=ZDROJE!BK15)*AND([1]Dotazník!$AB$21=ZDROJE!BJ15),ZDROJE!CI15,"chyba")</f>
        <v>chyba</v>
      </c>
      <c r="BF15" s="45" t="s">
        <v>397</v>
      </c>
      <c r="BG15" s="46">
        <v>622</v>
      </c>
      <c r="BH15" s="46" t="s">
        <v>43</v>
      </c>
      <c r="BI15" s="46" t="s">
        <v>179</v>
      </c>
      <c r="BJ15" s="46" t="s">
        <v>196</v>
      </c>
      <c r="BK15" s="46" t="s">
        <v>180</v>
      </c>
      <c r="BL15" s="46" t="s">
        <v>241</v>
      </c>
      <c r="BM15" s="47" t="s">
        <v>263</v>
      </c>
      <c r="BN15" s="46" t="s">
        <v>264</v>
      </c>
      <c r="BO15" s="46" t="s">
        <v>124</v>
      </c>
      <c r="BP15" s="48" t="str">
        <f t="shared" si="4"/>
        <v>622 Rozvoj ESF PaN ZV KA2 DA2.2 EF</v>
      </c>
      <c r="BQ15" s="49"/>
      <c r="BR15" s="49" t="s">
        <v>266</v>
      </c>
      <c r="BS15" s="49"/>
      <c r="BT15" s="49"/>
      <c r="BU15" s="49"/>
      <c r="BV15" s="49"/>
      <c r="BW15" s="49"/>
      <c r="BX15" s="49"/>
      <c r="BY15" s="49"/>
      <c r="BZ15" s="50">
        <v>1</v>
      </c>
      <c r="CA15" s="50">
        <v>1</v>
      </c>
      <c r="CB15" s="50"/>
      <c r="CC15" s="50"/>
      <c r="CD15" s="50"/>
      <c r="CE15" s="50"/>
      <c r="CF15" s="50"/>
      <c r="CG15" s="50"/>
      <c r="CH15" s="50"/>
      <c r="CI15" s="46" t="str">
        <f>VLOOKUP(BK15,[2]ZDROJ!$A$2:$C$20,2,0)</f>
        <v>102020</v>
      </c>
      <c r="CJ15" s="62"/>
      <c r="CK15" s="62"/>
      <c r="CL15" s="62"/>
      <c r="CM15" s="62"/>
      <c r="CN15" s="55"/>
      <c r="CO15" s="55"/>
      <c r="CQ15" s="15" t="s">
        <v>398</v>
      </c>
      <c r="CR15" s="15" t="s">
        <v>399</v>
      </c>
      <c r="CS15" s="63" t="s">
        <v>400</v>
      </c>
      <c r="CT15" s="64">
        <f>SUM(CT3:CT14)</f>
        <v>2080</v>
      </c>
      <c r="CU15" s="64">
        <f t="shared" ref="CU15:CY15" si="5">SUM(CU3:CU14)</f>
        <v>2088</v>
      </c>
      <c r="CV15" s="64">
        <f t="shared" si="5"/>
        <v>2088</v>
      </c>
      <c r="CW15" s="64">
        <f t="shared" si="5"/>
        <v>2096</v>
      </c>
      <c r="CX15" s="64">
        <f t="shared" si="5"/>
        <v>2088</v>
      </c>
      <c r="CY15" s="64">
        <f t="shared" si="5"/>
        <v>2080</v>
      </c>
    </row>
    <row r="16" spans="1:103" ht="17.25" customHeight="1" x14ac:dyDescent="0.25">
      <c r="K16" s="2" t="s">
        <v>207</v>
      </c>
      <c r="L16" s="38">
        <v>51000</v>
      </c>
      <c r="M16" s="38">
        <v>355.81395348837208</v>
      </c>
      <c r="N16" s="39" t="s">
        <v>251</v>
      </c>
      <c r="V16" s="88" t="s">
        <v>314</v>
      </c>
      <c r="W16" s="88" t="s">
        <v>401</v>
      </c>
      <c r="X16" s="88"/>
      <c r="Y16" s="88"/>
      <c r="Z16" s="88"/>
      <c r="AA16" s="88"/>
      <c r="AB16" s="88"/>
      <c r="AC16" s="88"/>
      <c r="AD16" s="88"/>
      <c r="AE16" s="88"/>
      <c r="AF16" s="88"/>
      <c r="AG16" s="88"/>
      <c r="AH16" s="88"/>
      <c r="AI16" s="88"/>
      <c r="AJ16" s="88"/>
      <c r="AK16" s="89"/>
      <c r="AL16" s="88"/>
      <c r="AM16" s="89"/>
      <c r="AN16" s="90" t="str">
        <f t="shared" si="0"/>
        <v>Odborný řešitel - docent 1</v>
      </c>
      <c r="AO16" s="91" t="str">
        <f t="shared" si="1"/>
        <v>1.1.1.2.1.14</v>
      </c>
      <c r="BB16" s="43">
        <f t="shared" si="2"/>
        <v>0</v>
      </c>
      <c r="BC16" s="43" t="str">
        <f>IF(([1]Dotazník!$L$10=ZDROJE!BM16)*AND([1]Dotazník!$AB$20=ZDROJE!BK16)*AND([1]Dotazník!$AB$21=ZDROJE!BJ16),ZDROJE!BP16,"chyba")</f>
        <v>chyba</v>
      </c>
      <c r="BD16" s="43">
        <f t="shared" si="3"/>
        <v>0</v>
      </c>
      <c r="BE16" s="43" t="str">
        <f>IF(([1]Dotazník!$L$10=ZDROJE!BM16)*AND([1]Dotazník!$AB$20=ZDROJE!BK16)*AND([1]Dotazník!$AB$21=ZDROJE!BJ16),ZDROJE!CI16,"chyba")</f>
        <v>chyba</v>
      </c>
      <c r="BF16" s="45" t="s">
        <v>402</v>
      </c>
      <c r="BG16" s="46">
        <v>622</v>
      </c>
      <c r="BH16" s="46" t="s">
        <v>43</v>
      </c>
      <c r="BI16" s="46" t="s">
        <v>179</v>
      </c>
      <c r="BJ16" s="46" t="s">
        <v>196</v>
      </c>
      <c r="BK16" s="46" t="s">
        <v>180</v>
      </c>
      <c r="BL16" s="46" t="s">
        <v>241</v>
      </c>
      <c r="BM16" s="47" t="s">
        <v>263</v>
      </c>
      <c r="BN16" s="46" t="s">
        <v>264</v>
      </c>
      <c r="BO16" s="46" t="s">
        <v>125</v>
      </c>
      <c r="BP16" s="48" t="str">
        <f t="shared" si="4"/>
        <v>622 Rozvoj ESF PaN ZV KA2 DA2.2 FF</v>
      </c>
      <c r="BQ16" s="49"/>
      <c r="BR16" s="49"/>
      <c r="BS16" s="49" t="s">
        <v>267</v>
      </c>
      <c r="BT16" s="49"/>
      <c r="BU16" s="49"/>
      <c r="BV16" s="49"/>
      <c r="BW16" s="49"/>
      <c r="BX16" s="49"/>
      <c r="BY16" s="49"/>
      <c r="BZ16" s="50">
        <v>1</v>
      </c>
      <c r="CA16" s="50"/>
      <c r="CB16" s="50">
        <v>1</v>
      </c>
      <c r="CC16" s="50"/>
      <c r="CD16" s="50"/>
      <c r="CE16" s="50"/>
      <c r="CF16" s="50"/>
      <c r="CG16" s="50"/>
      <c r="CH16" s="50"/>
      <c r="CI16" s="46" t="str">
        <f>VLOOKUP(BK16,[2]ZDROJ!$A$2:$C$20,2,0)</f>
        <v>102020</v>
      </c>
      <c r="CJ16" s="62"/>
      <c r="CK16" s="62"/>
      <c r="CL16" s="62"/>
      <c r="CM16" s="62"/>
      <c r="CN16" s="55"/>
      <c r="CO16" s="55"/>
      <c r="CQ16" s="15" t="s">
        <v>403</v>
      </c>
      <c r="CR16" s="15" t="s">
        <v>404</v>
      </c>
    </row>
    <row r="17" spans="11:96" ht="17.25" customHeight="1" x14ac:dyDescent="0.25">
      <c r="K17" s="2" t="s">
        <v>282</v>
      </c>
      <c r="L17" s="38">
        <v>46000</v>
      </c>
      <c r="M17" s="38">
        <v>320.93023255813949</v>
      </c>
      <c r="N17" s="39" t="s">
        <v>251</v>
      </c>
      <c r="V17" s="88" t="s">
        <v>376</v>
      </c>
      <c r="W17" s="88" t="s">
        <v>405</v>
      </c>
      <c r="X17" s="88"/>
      <c r="Y17" s="88"/>
      <c r="Z17" s="88"/>
      <c r="AA17" s="88"/>
      <c r="AB17" s="88"/>
      <c r="AC17" s="88"/>
      <c r="AD17" s="88"/>
      <c r="AE17" s="88"/>
      <c r="AF17" s="88"/>
      <c r="AG17" s="88"/>
      <c r="AH17" s="88"/>
      <c r="AI17" s="88"/>
      <c r="AJ17" s="88"/>
      <c r="AK17" s="89"/>
      <c r="AL17" s="88"/>
      <c r="AM17" s="89"/>
      <c r="AN17" s="90" t="str">
        <f t="shared" si="0"/>
        <v>Odborný řešitel - asistent</v>
      </c>
      <c r="AO17" s="91" t="str">
        <f t="shared" si="1"/>
        <v>1.1.1.2.1.15</v>
      </c>
      <c r="BB17" s="43">
        <f t="shared" si="2"/>
        <v>0</v>
      </c>
      <c r="BC17" s="43" t="str">
        <f>IF(([1]Dotazník!$L$10=ZDROJE!BM17)*AND([1]Dotazník!$AB$20=ZDROJE!BK17)*AND([1]Dotazník!$AB$21=ZDROJE!BJ17),ZDROJE!BP17,"chyba")</f>
        <v>chyba</v>
      </c>
      <c r="BD17" s="43">
        <f t="shared" si="3"/>
        <v>0</v>
      </c>
      <c r="BE17" s="43" t="str">
        <f>IF(([1]Dotazník!$L$10=ZDROJE!BM17)*AND([1]Dotazník!$AB$20=ZDROJE!BK17)*AND([1]Dotazník!$AB$21=ZDROJE!BJ17),ZDROJE!CI17,"chyba")</f>
        <v>chyba</v>
      </c>
      <c r="BF17" s="45" t="s">
        <v>406</v>
      </c>
      <c r="BG17" s="46">
        <v>622</v>
      </c>
      <c r="BH17" s="46" t="s">
        <v>43</v>
      </c>
      <c r="BI17" s="46" t="s">
        <v>179</v>
      </c>
      <c r="BJ17" s="46" t="s">
        <v>196</v>
      </c>
      <c r="BK17" s="46" t="s">
        <v>180</v>
      </c>
      <c r="BL17" s="46" t="s">
        <v>241</v>
      </c>
      <c r="BM17" s="47" t="s">
        <v>263</v>
      </c>
      <c r="BN17" s="46" t="s">
        <v>264</v>
      </c>
      <c r="BO17" s="46" t="s">
        <v>128</v>
      </c>
      <c r="BP17" s="48" t="str">
        <f t="shared" si="4"/>
        <v>622 Rozvoj ESF PaN ZV KA2 DA2.2 FROV</v>
      </c>
      <c r="BQ17" s="49"/>
      <c r="BR17" s="49"/>
      <c r="BS17" s="49"/>
      <c r="BT17" s="49"/>
      <c r="BU17" s="49"/>
      <c r="BV17" s="49" t="s">
        <v>269</v>
      </c>
      <c r="BW17" s="49"/>
      <c r="BX17" s="49"/>
      <c r="BY17" s="49"/>
      <c r="BZ17" s="50">
        <v>1</v>
      </c>
      <c r="CA17" s="50"/>
      <c r="CB17" s="50"/>
      <c r="CC17" s="50"/>
      <c r="CD17" s="50"/>
      <c r="CE17" s="50">
        <v>1</v>
      </c>
      <c r="CF17" s="50"/>
      <c r="CG17" s="50"/>
      <c r="CH17" s="50"/>
      <c r="CI17" s="46" t="str">
        <f>VLOOKUP(BK17,[2]ZDROJ!$A$2:$C$20,2,0)</f>
        <v>102020</v>
      </c>
      <c r="CJ17" s="62"/>
      <c r="CK17" s="62"/>
      <c r="CL17" s="62"/>
      <c r="CM17" s="62"/>
      <c r="CN17" s="55"/>
      <c r="CO17" s="55"/>
      <c r="CQ17" s="15" t="s">
        <v>407</v>
      </c>
      <c r="CR17" s="15" t="s">
        <v>408</v>
      </c>
    </row>
    <row r="18" spans="11:96" ht="17.25" customHeight="1" x14ac:dyDescent="0.25">
      <c r="K18" s="2" t="s">
        <v>409</v>
      </c>
      <c r="L18" s="38">
        <v>31000</v>
      </c>
      <c r="M18" s="38">
        <v>216.27906976744185</v>
      </c>
      <c r="N18" s="39" t="s">
        <v>251</v>
      </c>
      <c r="V18" s="88" t="s">
        <v>410</v>
      </c>
      <c r="W18" s="88" t="s">
        <v>411</v>
      </c>
      <c r="X18" s="88"/>
      <c r="Y18" s="88"/>
      <c r="Z18" s="88"/>
      <c r="AA18" s="88"/>
      <c r="AB18" s="88"/>
      <c r="AC18" s="88"/>
      <c r="AD18" s="88"/>
      <c r="AE18" s="88"/>
      <c r="AF18" s="88"/>
      <c r="AG18" s="88"/>
      <c r="AH18" s="88"/>
      <c r="AI18" s="88"/>
      <c r="AJ18" s="88"/>
      <c r="AK18" s="89"/>
      <c r="AL18" s="88"/>
      <c r="AM18" s="89"/>
      <c r="AN18" s="90" t="str">
        <f t="shared" si="0"/>
        <v>Odborný řešitel - analytik expert 2</v>
      </c>
      <c r="AO18" s="91" t="str">
        <f t="shared" si="1"/>
        <v>1.1.1.2.1.16</v>
      </c>
      <c r="BB18" s="43">
        <f t="shared" si="2"/>
        <v>0</v>
      </c>
      <c r="BC18" s="43" t="str">
        <f>IF(([1]Dotazník!$L$10=ZDROJE!BM18)*AND([1]Dotazník!$AB$20=ZDROJE!BK18)*AND([1]Dotazník!$AB$21=ZDROJE!BJ18),ZDROJE!BP18,"chyba")</f>
        <v>chyba</v>
      </c>
      <c r="BD18" s="43">
        <f t="shared" si="3"/>
        <v>0</v>
      </c>
      <c r="BE18" s="43" t="str">
        <f>IF(([1]Dotazník!$L$10=ZDROJE!BM18)*AND([1]Dotazník!$AB$20=ZDROJE!BK18)*AND([1]Dotazník!$AB$21=ZDROJE!BJ18),ZDROJE!CI18,"chyba")</f>
        <v>chyba</v>
      </c>
      <c r="BF18" s="45" t="s">
        <v>412</v>
      </c>
      <c r="BG18" s="46">
        <v>622</v>
      </c>
      <c r="BH18" s="46" t="s">
        <v>43</v>
      </c>
      <c r="BI18" s="46" t="s">
        <v>179</v>
      </c>
      <c r="BJ18" s="46" t="s">
        <v>196</v>
      </c>
      <c r="BK18" s="46" t="s">
        <v>180</v>
      </c>
      <c r="BL18" s="46" t="s">
        <v>241</v>
      </c>
      <c r="BM18" s="47" t="s">
        <v>263</v>
      </c>
      <c r="BN18" s="46" t="s">
        <v>264</v>
      </c>
      <c r="BO18" s="46" t="s">
        <v>126</v>
      </c>
      <c r="BP18" s="48" t="str">
        <f t="shared" si="4"/>
        <v>622 Rozvoj ESF PaN ZV KA2 DA2.2 PF</v>
      </c>
      <c r="BQ18" s="49"/>
      <c r="BR18" s="49"/>
      <c r="BS18" s="49"/>
      <c r="BT18" s="49" t="s">
        <v>256</v>
      </c>
      <c r="BU18" s="49"/>
      <c r="BV18" s="49"/>
      <c r="BW18" s="49"/>
      <c r="BX18" s="49"/>
      <c r="BY18" s="49"/>
      <c r="BZ18" s="50">
        <v>1</v>
      </c>
      <c r="CA18" s="50"/>
      <c r="CB18" s="50"/>
      <c r="CC18" s="50">
        <v>1</v>
      </c>
      <c r="CD18" s="50"/>
      <c r="CE18" s="50"/>
      <c r="CF18" s="50"/>
      <c r="CG18" s="50"/>
      <c r="CH18" s="50"/>
      <c r="CI18" s="46" t="str">
        <f>VLOOKUP(BK18,[2]ZDROJ!$A$2:$C$20,2,0)</f>
        <v>102020</v>
      </c>
      <c r="CJ18" s="62"/>
      <c r="CK18" s="62"/>
      <c r="CL18" s="62"/>
      <c r="CM18" s="62"/>
      <c r="CN18" s="55"/>
      <c r="CO18" s="55"/>
      <c r="CQ18" s="15" t="s">
        <v>413</v>
      </c>
      <c r="CR18" s="15" t="s">
        <v>414</v>
      </c>
    </row>
    <row r="19" spans="11:96" ht="17.25" customHeight="1" x14ac:dyDescent="0.25">
      <c r="K19" s="2" t="s">
        <v>319</v>
      </c>
      <c r="L19" s="38">
        <v>27000</v>
      </c>
      <c r="M19" s="38">
        <v>188.37209302325581</v>
      </c>
      <c r="N19" s="39" t="s">
        <v>251</v>
      </c>
      <c r="V19" s="88" t="s">
        <v>415</v>
      </c>
      <c r="W19" s="88" t="s">
        <v>416</v>
      </c>
      <c r="X19" s="88"/>
      <c r="Y19" s="88"/>
      <c r="Z19" s="88"/>
      <c r="AA19" s="88"/>
      <c r="AB19" s="88"/>
      <c r="AC19" s="88"/>
      <c r="AD19" s="88"/>
      <c r="AE19" s="88"/>
      <c r="AF19" s="88"/>
      <c r="AG19" s="88"/>
      <c r="AH19" s="88"/>
      <c r="AI19" s="88"/>
      <c r="AJ19" s="88"/>
      <c r="AK19" s="89"/>
      <c r="AL19" s="88"/>
      <c r="AM19" s="89"/>
      <c r="AN19" s="90" t="str">
        <f t="shared" si="0"/>
        <v>Odborný řešitel - analytik expert 1</v>
      </c>
      <c r="AO19" s="91" t="str">
        <f t="shared" si="1"/>
        <v>1.1.1.2.1.17</v>
      </c>
      <c r="BB19" s="43">
        <f t="shared" si="2"/>
        <v>0</v>
      </c>
      <c r="BC19" s="43" t="str">
        <f>IF(([1]Dotazník!$L$10=ZDROJE!BM19)*AND([1]Dotazník!$AB$20=ZDROJE!BK19)*AND([1]Dotazník!$AB$21=ZDROJE!BJ19),ZDROJE!BP19,"chyba")</f>
        <v>chyba</v>
      </c>
      <c r="BD19" s="43">
        <f t="shared" si="3"/>
        <v>0</v>
      </c>
      <c r="BE19" s="43" t="str">
        <f>IF(([1]Dotazník!$L$10=ZDROJE!BM19)*AND([1]Dotazník!$AB$20=ZDROJE!BK19)*AND([1]Dotazník!$AB$21=ZDROJE!BJ19),ZDROJE!CI19,"chyba")</f>
        <v>chyba</v>
      </c>
      <c r="BF19" s="45" t="s">
        <v>417</v>
      </c>
      <c r="BG19" s="46">
        <v>622</v>
      </c>
      <c r="BH19" s="46" t="s">
        <v>43</v>
      </c>
      <c r="BI19" s="46" t="s">
        <v>179</v>
      </c>
      <c r="BJ19" s="46" t="s">
        <v>196</v>
      </c>
      <c r="BK19" s="46" t="s">
        <v>180</v>
      </c>
      <c r="BL19" s="46" t="s">
        <v>241</v>
      </c>
      <c r="BM19" s="47" t="s">
        <v>263</v>
      </c>
      <c r="BN19" s="46" t="s">
        <v>264</v>
      </c>
      <c r="BO19" s="46" t="s">
        <v>129</v>
      </c>
      <c r="BP19" s="48" t="str">
        <f t="shared" si="4"/>
        <v>622 Rozvoj ESF PaN ZV KA2 DA2.2 TF</v>
      </c>
      <c r="BQ19" s="49"/>
      <c r="BR19" s="49"/>
      <c r="BS19" s="49"/>
      <c r="BT19" s="49"/>
      <c r="BU19" s="49"/>
      <c r="BV19" s="49"/>
      <c r="BW19" s="49" t="s">
        <v>270</v>
      </c>
      <c r="BX19" s="49"/>
      <c r="BY19" s="49"/>
      <c r="BZ19" s="50">
        <v>1</v>
      </c>
      <c r="CA19" s="50"/>
      <c r="CB19" s="50"/>
      <c r="CC19" s="50"/>
      <c r="CD19" s="50"/>
      <c r="CE19" s="50"/>
      <c r="CF19" s="50">
        <v>1</v>
      </c>
      <c r="CG19" s="50"/>
      <c r="CH19" s="50"/>
      <c r="CI19" s="46" t="str">
        <f>VLOOKUP(BK19,[2]ZDROJ!$A$2:$C$20,2,0)</f>
        <v>102020</v>
      </c>
      <c r="CJ19" s="62"/>
      <c r="CK19" s="62"/>
      <c r="CL19" s="62"/>
      <c r="CM19" s="62"/>
      <c r="CN19" s="55"/>
      <c r="CO19" s="55"/>
      <c r="CQ19" s="15" t="s">
        <v>418</v>
      </c>
      <c r="CR19" s="15" t="s">
        <v>419</v>
      </c>
    </row>
    <row r="20" spans="11:96" ht="17.25" customHeight="1" x14ac:dyDescent="0.25">
      <c r="K20" s="2" t="s">
        <v>420</v>
      </c>
      <c r="L20" s="38">
        <v>62000</v>
      </c>
      <c r="M20" s="38">
        <v>432.55813953488371</v>
      </c>
      <c r="N20" s="39" t="s">
        <v>251</v>
      </c>
      <c r="V20" s="88" t="s">
        <v>421</v>
      </c>
      <c r="W20" s="88" t="s">
        <v>422</v>
      </c>
      <c r="X20" s="88"/>
      <c r="Y20" s="88"/>
      <c r="Z20" s="88"/>
      <c r="AA20" s="88"/>
      <c r="AB20" s="88"/>
      <c r="AC20" s="88"/>
      <c r="AD20" s="88"/>
      <c r="AE20" s="88"/>
      <c r="AF20" s="88"/>
      <c r="AG20" s="88"/>
      <c r="AH20" s="88"/>
      <c r="AI20" s="88"/>
      <c r="AJ20" s="88"/>
      <c r="AK20" s="89"/>
      <c r="AL20" s="88"/>
      <c r="AM20" s="89"/>
      <c r="AN20" s="90" t="str">
        <f t="shared" si="0"/>
        <v>Odborný řešitel - analytik</v>
      </c>
      <c r="AO20" s="91" t="str">
        <f t="shared" si="1"/>
        <v>1.1.1.2.1.18</v>
      </c>
      <c r="BB20" s="43">
        <f t="shared" si="2"/>
        <v>0</v>
      </c>
      <c r="BC20" s="43" t="str">
        <f>IF(([1]Dotazník!$L$10=ZDROJE!BM20)*AND([1]Dotazník!$AB$20=ZDROJE!BK20)*AND([1]Dotazník!$AB$21=ZDROJE!BJ20),ZDROJE!BP20,"chyba")</f>
        <v>chyba</v>
      </c>
      <c r="BD20" s="43">
        <f t="shared" si="3"/>
        <v>0</v>
      </c>
      <c r="BE20" s="43" t="str">
        <f>IF(([1]Dotazník!$L$10=ZDROJE!BM20)*AND([1]Dotazník!$AB$20=ZDROJE!BK20)*AND([1]Dotazník!$AB$21=ZDROJE!BJ20),ZDROJE!CI20,"chyba")</f>
        <v>chyba</v>
      </c>
      <c r="BF20" s="45" t="s">
        <v>423</v>
      </c>
      <c r="BG20" s="46">
        <v>622</v>
      </c>
      <c r="BH20" s="46" t="s">
        <v>43</v>
      </c>
      <c r="BI20" s="46" t="s">
        <v>179</v>
      </c>
      <c r="BJ20" s="46" t="s">
        <v>196</v>
      </c>
      <c r="BK20" s="46" t="s">
        <v>180</v>
      </c>
      <c r="BL20" s="46" t="s">
        <v>241</v>
      </c>
      <c r="BM20" s="47" t="s">
        <v>263</v>
      </c>
      <c r="BN20" s="46" t="s">
        <v>264</v>
      </c>
      <c r="BO20" s="46" t="s">
        <v>130</v>
      </c>
      <c r="BP20" s="48" t="str">
        <f t="shared" si="4"/>
        <v>622 Rozvoj ESF PaN ZV KA2 DA2.2 ZSF</v>
      </c>
      <c r="BQ20" s="49"/>
      <c r="BR20" s="49"/>
      <c r="BS20" s="49"/>
      <c r="BT20" s="49"/>
      <c r="BU20" s="49"/>
      <c r="BV20" s="49"/>
      <c r="BW20" s="49"/>
      <c r="BX20" s="49" t="s">
        <v>271</v>
      </c>
      <c r="BY20" s="49"/>
      <c r="BZ20" s="50">
        <v>1</v>
      </c>
      <c r="CA20" s="50"/>
      <c r="CB20" s="50"/>
      <c r="CC20" s="50"/>
      <c r="CD20" s="50"/>
      <c r="CE20" s="50"/>
      <c r="CF20" s="50"/>
      <c r="CG20" s="50">
        <v>1</v>
      </c>
      <c r="CH20" s="50"/>
      <c r="CI20" s="46" t="str">
        <f>VLOOKUP(BK20,[2]ZDROJ!$A$2:$C$20,2,0)</f>
        <v>102020</v>
      </c>
      <c r="CJ20" s="62"/>
      <c r="CK20" s="62"/>
      <c r="CL20" s="62"/>
      <c r="CM20" s="62"/>
      <c r="CN20" s="55"/>
      <c r="CO20" s="55"/>
      <c r="CQ20" s="15" t="s">
        <v>424</v>
      </c>
      <c r="CR20" s="15" t="s">
        <v>425</v>
      </c>
    </row>
    <row r="21" spans="11:96" ht="17.25" customHeight="1" x14ac:dyDescent="0.25">
      <c r="K21" s="2" t="s">
        <v>426</v>
      </c>
      <c r="L21" s="38">
        <v>62000</v>
      </c>
      <c r="M21" s="38">
        <v>432.55813953488371</v>
      </c>
      <c r="N21" s="39" t="s">
        <v>251</v>
      </c>
      <c r="V21" s="88" t="s">
        <v>427</v>
      </c>
      <c r="W21" s="88" t="s">
        <v>428</v>
      </c>
      <c r="X21" s="88"/>
      <c r="Y21" s="88"/>
      <c r="Z21" s="88"/>
      <c r="AA21" s="88"/>
      <c r="AB21" s="88"/>
      <c r="AC21" s="88"/>
      <c r="AD21" s="88"/>
      <c r="AE21" s="88"/>
      <c r="AF21" s="88"/>
      <c r="AG21" s="88"/>
      <c r="AH21" s="88"/>
      <c r="AI21" s="88"/>
      <c r="AJ21" s="88"/>
      <c r="AK21" s="89"/>
      <c r="AL21" s="88"/>
      <c r="AM21" s="89"/>
      <c r="AN21" s="90" t="str">
        <f t="shared" si="0"/>
        <v>Multimediální technik</v>
      </c>
      <c r="AO21" s="91" t="str">
        <f t="shared" si="1"/>
        <v>1.1.1.2.1.19</v>
      </c>
      <c r="BB21" s="43">
        <f t="shared" si="2"/>
        <v>0</v>
      </c>
      <c r="BC21" s="43" t="str">
        <f>IF(([1]Dotazník!$L$10=ZDROJE!BM21)*AND([1]Dotazník!$AB$20=ZDROJE!BK21)*AND([1]Dotazník!$AB$21=ZDROJE!BJ21),ZDROJE!BP21,"chyba")</f>
        <v>chyba</v>
      </c>
      <c r="BD21" s="43">
        <f t="shared" si="3"/>
        <v>0</v>
      </c>
      <c r="BE21" s="43" t="str">
        <f>IF(([1]Dotazník!$L$10=ZDROJE!BM21)*AND([1]Dotazník!$AB$20=ZDROJE!BK21)*AND([1]Dotazník!$AB$21=ZDROJE!BJ21),ZDROJE!CI21,"chyba")</f>
        <v>chyba</v>
      </c>
      <c r="BF21" s="45" t="s">
        <v>429</v>
      </c>
      <c r="BG21" s="46">
        <v>622</v>
      </c>
      <c r="BH21" s="46" t="s">
        <v>43</v>
      </c>
      <c r="BI21" s="46" t="s">
        <v>179</v>
      </c>
      <c r="BJ21" s="46" t="s">
        <v>196</v>
      </c>
      <c r="BK21" s="46" t="s">
        <v>180</v>
      </c>
      <c r="BL21" s="46" t="s">
        <v>241</v>
      </c>
      <c r="BM21" s="47" t="s">
        <v>263</v>
      </c>
      <c r="BN21" s="46" t="s">
        <v>264</v>
      </c>
      <c r="BO21" s="46" t="s">
        <v>131</v>
      </c>
      <c r="BP21" s="48" t="str">
        <f t="shared" si="4"/>
        <v>622 Rozvoj ESF PaN ZV KA2 DA2.2 ZF</v>
      </c>
      <c r="BQ21" s="49"/>
      <c r="BR21" s="49"/>
      <c r="BS21" s="49"/>
      <c r="BT21" s="49"/>
      <c r="BU21" s="49"/>
      <c r="BV21" s="49"/>
      <c r="BW21" s="49"/>
      <c r="BX21" s="49"/>
      <c r="BY21" s="49" t="s">
        <v>272</v>
      </c>
      <c r="BZ21" s="50">
        <v>1</v>
      </c>
      <c r="CA21" s="50"/>
      <c r="CB21" s="50"/>
      <c r="CC21" s="50"/>
      <c r="CD21" s="50"/>
      <c r="CE21" s="50"/>
      <c r="CF21" s="50"/>
      <c r="CG21" s="50"/>
      <c r="CH21" s="50">
        <v>1</v>
      </c>
      <c r="CI21" s="46" t="str">
        <f>VLOOKUP(BK21,[2]ZDROJ!$A$2:$C$20,2,0)</f>
        <v>102020</v>
      </c>
      <c r="CJ21" s="62"/>
      <c r="CK21" s="62"/>
      <c r="CL21" s="62"/>
      <c r="CM21" s="62"/>
      <c r="CN21" s="55"/>
      <c r="CO21" s="55"/>
      <c r="CQ21" s="15" t="s">
        <v>430</v>
      </c>
      <c r="CR21" s="15" t="s">
        <v>431</v>
      </c>
    </row>
    <row r="22" spans="11:96" ht="17.25" customHeight="1" x14ac:dyDescent="0.25">
      <c r="K22" s="2" t="s">
        <v>353</v>
      </c>
      <c r="L22" s="38">
        <v>27000</v>
      </c>
      <c r="M22" s="38">
        <v>188.37209302325581</v>
      </c>
      <c r="N22" s="39" t="s">
        <v>251</v>
      </c>
      <c r="V22" s="88" t="s">
        <v>432</v>
      </c>
      <c r="W22" s="88" t="s">
        <v>433</v>
      </c>
      <c r="X22" s="88"/>
      <c r="Y22" s="88"/>
      <c r="Z22" s="88"/>
      <c r="AA22" s="88"/>
      <c r="AB22" s="88"/>
      <c r="AC22" s="88"/>
      <c r="AD22" s="88"/>
      <c r="AE22" s="88"/>
      <c r="AF22" s="88"/>
      <c r="AG22" s="88"/>
      <c r="AH22" s="88"/>
      <c r="AI22" s="88"/>
      <c r="AJ22" s="88"/>
      <c r="AK22" s="89"/>
      <c r="AL22" s="88"/>
      <c r="AM22" s="89"/>
      <c r="AN22" s="90" t="str">
        <f t="shared" si="0"/>
        <v>IT specialista 2</v>
      </c>
      <c r="AO22" s="91" t="str">
        <f t="shared" si="1"/>
        <v>1.1.1.2.1.20</v>
      </c>
      <c r="BB22" s="43">
        <f t="shared" si="2"/>
        <v>0</v>
      </c>
      <c r="BC22" s="43" t="str">
        <f>IF(([1]Dotazník!$L$10=ZDROJE!BM22)*AND([1]Dotazník!$AB$20=ZDROJE!BK22)*AND([1]Dotazník!$AB$21=ZDROJE!BJ22),ZDROJE!BP22,"chyba")</f>
        <v>chyba</v>
      </c>
      <c r="BD22" s="43">
        <f t="shared" si="3"/>
        <v>0</v>
      </c>
      <c r="BE22" s="43" t="str">
        <f>IF(([1]Dotazník!$L$10=ZDROJE!BM22)*AND([1]Dotazník!$AB$20=ZDROJE!BK22)*AND([1]Dotazník!$AB$21=ZDROJE!BJ22),ZDROJE!CI22,"chyba")</f>
        <v>chyba</v>
      </c>
      <c r="BF22" s="45" t="s">
        <v>434</v>
      </c>
      <c r="BG22" s="46">
        <v>622</v>
      </c>
      <c r="BH22" s="46" t="s">
        <v>43</v>
      </c>
      <c r="BI22" s="46" t="s">
        <v>179</v>
      </c>
      <c r="BJ22" s="46" t="s">
        <v>148</v>
      </c>
      <c r="BK22" s="46" t="s">
        <v>180</v>
      </c>
      <c r="BL22" s="46" t="s">
        <v>241</v>
      </c>
      <c r="BM22" s="47" t="s">
        <v>288</v>
      </c>
      <c r="BN22" s="46" t="s">
        <v>289</v>
      </c>
      <c r="BO22" s="46" t="s">
        <v>132</v>
      </c>
      <c r="BP22" s="48" t="str">
        <f t="shared" si="4"/>
        <v>622 Rozvoj ESF PN ZV KA2 DA2.3 REK</v>
      </c>
      <c r="BQ22" s="49" t="s">
        <v>157</v>
      </c>
      <c r="BR22" s="49" t="s">
        <v>266</v>
      </c>
      <c r="BS22" s="49" t="s">
        <v>267</v>
      </c>
      <c r="BT22" s="49"/>
      <c r="BU22" s="49"/>
      <c r="BV22" s="49"/>
      <c r="BW22" s="49" t="s">
        <v>270</v>
      </c>
      <c r="BX22" s="49"/>
      <c r="BY22" s="49"/>
      <c r="BZ22" s="50">
        <v>1</v>
      </c>
      <c r="CA22" s="50">
        <v>1</v>
      </c>
      <c r="CB22" s="50">
        <v>1</v>
      </c>
      <c r="CC22" s="50"/>
      <c r="CD22" s="50"/>
      <c r="CE22" s="50"/>
      <c r="CF22" s="50">
        <v>1</v>
      </c>
      <c r="CG22" s="50"/>
      <c r="CH22" s="50"/>
      <c r="CI22" s="46" t="str">
        <f>VLOOKUP(BK22,[2]ZDROJ!$A$2:$C$20,2,0)</f>
        <v>102020</v>
      </c>
      <c r="CJ22" s="46" t="s">
        <v>181</v>
      </c>
      <c r="CK22" s="46" t="s">
        <v>182</v>
      </c>
      <c r="CL22" s="46" t="s">
        <v>183</v>
      </c>
      <c r="CM22" s="46" t="s">
        <v>184</v>
      </c>
      <c r="CN22" s="55"/>
      <c r="CO22" s="55"/>
      <c r="CQ22" s="15" t="s">
        <v>435</v>
      </c>
      <c r="CR22" s="15" t="s">
        <v>436</v>
      </c>
    </row>
    <row r="23" spans="11:96" ht="17.25" customHeight="1" x14ac:dyDescent="0.25">
      <c r="K23" s="2" t="s">
        <v>415</v>
      </c>
      <c r="L23" s="38">
        <v>51000</v>
      </c>
      <c r="M23" s="38">
        <v>355.81395348837208</v>
      </c>
      <c r="N23" s="39" t="s">
        <v>251</v>
      </c>
      <c r="V23" s="88" t="s">
        <v>437</v>
      </c>
      <c r="W23" s="88" t="s">
        <v>438</v>
      </c>
      <c r="X23" s="88"/>
      <c r="Y23" s="88"/>
      <c r="Z23" s="88"/>
      <c r="AA23" s="88"/>
      <c r="AB23" s="88"/>
      <c r="AC23" s="88"/>
      <c r="AD23" s="88"/>
      <c r="AE23" s="88"/>
      <c r="AF23" s="88"/>
      <c r="AG23" s="88"/>
      <c r="AH23" s="88"/>
      <c r="AI23" s="88"/>
      <c r="AJ23" s="88"/>
      <c r="AK23" s="89"/>
      <c r="AL23" s="88"/>
      <c r="AM23" s="89"/>
      <c r="AN23" s="90" t="str">
        <f t="shared" si="0"/>
        <v>IT Specialista 1</v>
      </c>
      <c r="AO23" s="91" t="str">
        <f t="shared" si="1"/>
        <v>1.1.1.2.1.21</v>
      </c>
      <c r="BB23" s="43">
        <f t="shared" si="2"/>
        <v>0</v>
      </c>
      <c r="BC23" s="43" t="str">
        <f>IF(([1]Dotazník!$L$10=ZDROJE!BM23)*AND([1]Dotazník!$AB$20=ZDROJE!BK23)*AND([1]Dotazník!$AB$21=ZDROJE!BJ23),ZDROJE!BP23,"chyba")</f>
        <v>chyba</v>
      </c>
      <c r="BD23" s="43">
        <f t="shared" si="3"/>
        <v>0</v>
      </c>
      <c r="BE23" s="43" t="str">
        <f>IF(([1]Dotazník!$L$10=ZDROJE!BM23)*AND([1]Dotazník!$AB$20=ZDROJE!BK23)*AND([1]Dotazník!$AB$21=ZDROJE!BJ23),ZDROJE!CI23,"chyba")</f>
        <v>chyba</v>
      </c>
      <c r="BF23" s="45" t="s">
        <v>439</v>
      </c>
      <c r="BG23" s="46">
        <v>622</v>
      </c>
      <c r="BH23" s="46" t="s">
        <v>43</v>
      </c>
      <c r="BI23" s="46" t="s">
        <v>179</v>
      </c>
      <c r="BJ23" s="46" t="s">
        <v>148</v>
      </c>
      <c r="BK23" s="46" t="s">
        <v>217</v>
      </c>
      <c r="BL23" s="46" t="s">
        <v>241</v>
      </c>
      <c r="BM23" s="47" t="s">
        <v>288</v>
      </c>
      <c r="BN23" s="46" t="s">
        <v>289</v>
      </c>
      <c r="BO23" s="46" t="s">
        <v>132</v>
      </c>
      <c r="BP23" s="48" t="str">
        <f t="shared" si="4"/>
        <v>622 Rozvoj ESF PN NV KA2 DA2.3 REK</v>
      </c>
      <c r="BQ23" s="49" t="s">
        <v>157</v>
      </c>
      <c r="BR23" s="49" t="s">
        <v>266</v>
      </c>
      <c r="BS23" s="49" t="s">
        <v>267</v>
      </c>
      <c r="BT23" s="49"/>
      <c r="BU23" s="49"/>
      <c r="BV23" s="49"/>
      <c r="BW23" s="49" t="s">
        <v>270</v>
      </c>
      <c r="BX23" s="49"/>
      <c r="BY23" s="49"/>
      <c r="BZ23" s="50">
        <v>1</v>
      </c>
      <c r="CA23" s="50">
        <v>1</v>
      </c>
      <c r="CB23" s="50">
        <v>1</v>
      </c>
      <c r="CC23" s="50"/>
      <c r="CD23" s="50"/>
      <c r="CE23" s="50"/>
      <c r="CF23" s="50">
        <v>1</v>
      </c>
      <c r="CG23" s="50"/>
      <c r="CH23" s="50"/>
      <c r="CI23" s="46" t="str">
        <f>VLOOKUP(BK23,[2]ZDROJ!$A$2:$C$20,2,0)</f>
        <v>102031</v>
      </c>
      <c r="CJ23" s="46" t="s">
        <v>181</v>
      </c>
      <c r="CK23" s="46" t="s">
        <v>182</v>
      </c>
      <c r="CL23" s="46" t="s">
        <v>183</v>
      </c>
      <c r="CM23" s="46" t="s">
        <v>184</v>
      </c>
      <c r="CN23" s="55"/>
      <c r="CO23" s="55"/>
      <c r="CQ23" s="15" t="s">
        <v>440</v>
      </c>
      <c r="CR23" s="15" t="s">
        <v>441</v>
      </c>
    </row>
    <row r="24" spans="11:96" ht="17.25" customHeight="1" x14ac:dyDescent="0.25">
      <c r="K24" s="2" t="s">
        <v>410</v>
      </c>
      <c r="L24" s="38">
        <v>46000</v>
      </c>
      <c r="M24" s="38">
        <v>320.93023255813949</v>
      </c>
      <c r="N24" s="39" t="s">
        <v>251</v>
      </c>
      <c r="V24" s="88" t="s">
        <v>442</v>
      </c>
      <c r="W24" s="88" t="s">
        <v>443</v>
      </c>
      <c r="X24" s="88"/>
      <c r="Y24" s="88"/>
      <c r="Z24" s="88"/>
      <c r="AA24" s="88"/>
      <c r="AB24" s="88"/>
      <c r="AC24" s="88"/>
      <c r="AD24" s="88"/>
      <c r="AE24" s="88"/>
      <c r="AF24" s="88"/>
      <c r="AG24" s="88"/>
      <c r="AH24" s="88"/>
      <c r="AI24" s="88"/>
      <c r="AJ24" s="88"/>
      <c r="AK24" s="89"/>
      <c r="AL24" s="88"/>
      <c r="AM24" s="89"/>
      <c r="AN24" s="90" t="str">
        <f t="shared" si="0"/>
        <v>Překladatel</v>
      </c>
      <c r="AO24" s="91" t="str">
        <f t="shared" si="1"/>
        <v>1.1.1.2.1.22</v>
      </c>
      <c r="BB24" s="43">
        <f t="shared" si="2"/>
        <v>0</v>
      </c>
      <c r="BC24" s="43" t="str">
        <f>IF(([1]Dotazník!$L$10=ZDROJE!BM24)*AND([1]Dotazník!$AB$20=ZDROJE!BK24)*AND([1]Dotazník!$AB$21=ZDROJE!BJ24),ZDROJE!BP24,"chyba")</f>
        <v>chyba</v>
      </c>
      <c r="BD24" s="43">
        <f t="shared" si="3"/>
        <v>0</v>
      </c>
      <c r="BE24" s="43" t="str">
        <f>IF(([1]Dotazník!$L$10=ZDROJE!BM24)*AND([1]Dotazník!$AB$20=ZDROJE!BK24)*AND([1]Dotazník!$AB$21=ZDROJE!BJ24),ZDROJE!CI24,"chyba")</f>
        <v>chyba</v>
      </c>
      <c r="BF24" s="45" t="s">
        <v>444</v>
      </c>
      <c r="BG24" s="46">
        <v>622</v>
      </c>
      <c r="BH24" s="46" t="s">
        <v>43</v>
      </c>
      <c r="BI24" s="46" t="s">
        <v>179</v>
      </c>
      <c r="BJ24" s="46" t="s">
        <v>196</v>
      </c>
      <c r="BK24" s="46" t="s">
        <v>180</v>
      </c>
      <c r="BL24" s="46" t="s">
        <v>241</v>
      </c>
      <c r="BM24" s="47" t="s">
        <v>288</v>
      </c>
      <c r="BN24" s="46" t="s">
        <v>289</v>
      </c>
      <c r="BO24" s="46" t="s">
        <v>132</v>
      </c>
      <c r="BP24" s="48" t="str">
        <f t="shared" si="4"/>
        <v>622 Rozvoj ESF PaN ZV KA2 DA2.3 REK</v>
      </c>
      <c r="BQ24" s="49" t="s">
        <v>157</v>
      </c>
      <c r="BR24" s="49"/>
      <c r="BS24" s="49"/>
      <c r="BT24" s="49"/>
      <c r="BU24" s="49"/>
      <c r="BV24" s="49"/>
      <c r="BW24" s="49"/>
      <c r="BX24" s="49"/>
      <c r="BY24" s="49"/>
      <c r="BZ24" s="50">
        <v>1</v>
      </c>
      <c r="CA24" s="50"/>
      <c r="CB24" s="50"/>
      <c r="CC24" s="50"/>
      <c r="CD24" s="50"/>
      <c r="CE24" s="50"/>
      <c r="CF24" s="50"/>
      <c r="CG24" s="50"/>
      <c r="CH24" s="50"/>
      <c r="CI24" s="46" t="str">
        <f>VLOOKUP(BK24,[2]ZDROJ!$A$2:$C$20,2,0)</f>
        <v>102020</v>
      </c>
      <c r="CJ24" s="54" t="s">
        <v>445</v>
      </c>
      <c r="CK24" s="54"/>
      <c r="CL24" s="46" t="s">
        <v>183</v>
      </c>
      <c r="CM24" s="46" t="s">
        <v>184</v>
      </c>
      <c r="CN24" s="55"/>
      <c r="CO24" s="55"/>
      <c r="CQ24" s="15" t="s">
        <v>446</v>
      </c>
      <c r="CR24" s="15" t="s">
        <v>447</v>
      </c>
    </row>
    <row r="25" spans="11:96" ht="17.25" customHeight="1" x14ac:dyDescent="0.25">
      <c r="K25" s="2" t="s">
        <v>421</v>
      </c>
      <c r="L25" s="38">
        <v>33000</v>
      </c>
      <c r="M25" s="38">
        <v>230.23255813953486</v>
      </c>
      <c r="N25" s="39" t="s">
        <v>251</v>
      </c>
      <c r="V25" s="88" t="s">
        <v>164</v>
      </c>
      <c r="W25" s="88" t="s">
        <v>448</v>
      </c>
      <c r="X25" s="88"/>
      <c r="Y25" s="88"/>
      <c r="Z25" s="88"/>
      <c r="AA25" s="88"/>
      <c r="AB25" s="88"/>
      <c r="AC25" s="88"/>
      <c r="AD25" s="88"/>
      <c r="AE25" s="88"/>
      <c r="AF25" s="88"/>
      <c r="AG25" s="88"/>
      <c r="AH25" s="88"/>
      <c r="AI25" s="88"/>
      <c r="AJ25" s="88"/>
      <c r="AK25" s="89"/>
      <c r="AL25" s="88"/>
      <c r="AM25" s="89"/>
      <c r="AN25" s="90" t="str">
        <f t="shared" si="0"/>
        <v>Ředitel projektu</v>
      </c>
      <c r="AO25" s="91" t="str">
        <f t="shared" si="1"/>
        <v>1.1.1.1.1.1</v>
      </c>
      <c r="BB25" s="43">
        <f t="shared" si="2"/>
        <v>0</v>
      </c>
      <c r="BC25" s="43" t="str">
        <f>IF(([1]Dotazník!$L$10=ZDROJE!BM25)*AND([1]Dotazník!$AB$20=ZDROJE!BK25)*AND([1]Dotazník!$AB$21=ZDROJE!BJ25),ZDROJE!BP25,"chyba")</f>
        <v>chyba</v>
      </c>
      <c r="BD25" s="43">
        <f t="shared" si="3"/>
        <v>0</v>
      </c>
      <c r="BE25" s="43" t="str">
        <f>IF(([1]Dotazník!$L$10=ZDROJE!BM25)*AND([1]Dotazník!$AB$20=ZDROJE!BK25)*AND([1]Dotazník!$AB$21=ZDROJE!BJ25),ZDROJE!CI25,"chyba")</f>
        <v>chyba</v>
      </c>
      <c r="BF25" s="45" t="s">
        <v>449</v>
      </c>
      <c r="BG25" s="46">
        <v>622</v>
      </c>
      <c r="BH25" s="46" t="s">
        <v>43</v>
      </c>
      <c r="BI25" s="46" t="s">
        <v>179</v>
      </c>
      <c r="BJ25" s="46" t="s">
        <v>196</v>
      </c>
      <c r="BK25" s="46" t="s">
        <v>180</v>
      </c>
      <c r="BL25" s="46" t="s">
        <v>241</v>
      </c>
      <c r="BM25" s="47" t="s">
        <v>288</v>
      </c>
      <c r="BN25" s="46" t="s">
        <v>289</v>
      </c>
      <c r="BO25" s="46" t="s">
        <v>124</v>
      </c>
      <c r="BP25" s="48" t="str">
        <f t="shared" si="4"/>
        <v>622 Rozvoj ESF PaN ZV KA2 DA2.3 EF</v>
      </c>
      <c r="BQ25" s="49"/>
      <c r="BR25" s="49" t="s">
        <v>266</v>
      </c>
      <c r="BS25" s="49"/>
      <c r="BT25" s="49"/>
      <c r="BU25" s="49"/>
      <c r="BV25" s="49"/>
      <c r="BW25" s="49"/>
      <c r="BX25" s="49"/>
      <c r="BY25" s="49"/>
      <c r="BZ25" s="50">
        <v>1</v>
      </c>
      <c r="CA25" s="50">
        <v>1</v>
      </c>
      <c r="CB25" s="50"/>
      <c r="CC25" s="50"/>
      <c r="CD25" s="50"/>
      <c r="CE25" s="50"/>
      <c r="CF25" s="50"/>
      <c r="CG25" s="50"/>
      <c r="CH25" s="50"/>
      <c r="CI25" s="46" t="str">
        <f>VLOOKUP(BK25,[2]ZDROJ!$A$2:$C$20,2,0)</f>
        <v>102020</v>
      </c>
      <c r="CJ25" s="62"/>
      <c r="CK25" s="62"/>
      <c r="CL25" s="62"/>
      <c r="CM25" s="62"/>
      <c r="CN25" s="55"/>
      <c r="CO25" s="55"/>
      <c r="CQ25" s="15" t="s">
        <v>450</v>
      </c>
      <c r="CR25" s="15" t="s">
        <v>451</v>
      </c>
    </row>
    <row r="26" spans="11:96" ht="17.25" customHeight="1" x14ac:dyDescent="0.25">
      <c r="K26" s="2" t="s">
        <v>164</v>
      </c>
      <c r="L26" s="38">
        <v>66000</v>
      </c>
      <c r="M26" s="38">
        <v>460.46511627906972</v>
      </c>
      <c r="N26" s="39" t="s">
        <v>452</v>
      </c>
      <c r="V26" s="88" t="s">
        <v>453</v>
      </c>
      <c r="W26" s="88" t="s">
        <v>454</v>
      </c>
      <c r="X26" s="88"/>
      <c r="Y26" s="88"/>
      <c r="Z26" s="88"/>
      <c r="AA26" s="88"/>
      <c r="AB26" s="88"/>
      <c r="AC26" s="88"/>
      <c r="AD26" s="88"/>
      <c r="AE26" s="88"/>
      <c r="AF26" s="88"/>
      <c r="AG26" s="88"/>
      <c r="AH26" s="88"/>
      <c r="AI26" s="88"/>
      <c r="AJ26" s="88"/>
      <c r="AK26" s="89"/>
      <c r="AL26" s="88"/>
      <c r="AM26" s="89"/>
      <c r="AN26" s="90" t="str">
        <f t="shared" si="0"/>
        <v>Projektový a finanční manažer 2</v>
      </c>
      <c r="AO26" s="91" t="str">
        <f t="shared" si="1"/>
        <v>1.1.1.1.1.2</v>
      </c>
      <c r="BB26" s="43">
        <f t="shared" si="2"/>
        <v>0</v>
      </c>
      <c r="BC26" s="43" t="str">
        <f>IF(([1]Dotazník!$L$10=ZDROJE!BM26)*AND([1]Dotazník!$AB$20=ZDROJE!BK26)*AND([1]Dotazník!$AB$21=ZDROJE!BJ26),ZDROJE!BP26,"chyba")</f>
        <v>chyba</v>
      </c>
      <c r="BD26" s="43">
        <f t="shared" si="3"/>
        <v>0</v>
      </c>
      <c r="BE26" s="43" t="str">
        <f>IF(([1]Dotazník!$L$10=ZDROJE!BM26)*AND([1]Dotazník!$AB$20=ZDROJE!BK26)*AND([1]Dotazník!$AB$21=ZDROJE!BJ26),ZDROJE!CI26,"chyba")</f>
        <v>chyba</v>
      </c>
      <c r="BF26" s="45" t="s">
        <v>455</v>
      </c>
      <c r="BG26" s="46">
        <v>622</v>
      </c>
      <c r="BH26" s="46" t="s">
        <v>43</v>
      </c>
      <c r="BI26" s="46" t="s">
        <v>179</v>
      </c>
      <c r="BJ26" s="46" t="s">
        <v>196</v>
      </c>
      <c r="BK26" s="46" t="s">
        <v>180</v>
      </c>
      <c r="BL26" s="46" t="s">
        <v>241</v>
      </c>
      <c r="BM26" s="47" t="s">
        <v>288</v>
      </c>
      <c r="BN26" s="46" t="s">
        <v>289</v>
      </c>
      <c r="BO26" s="46" t="s">
        <v>125</v>
      </c>
      <c r="BP26" s="48" t="str">
        <f t="shared" si="4"/>
        <v>622 Rozvoj ESF PaN ZV KA2 DA2.3 FF</v>
      </c>
      <c r="BQ26" s="49"/>
      <c r="BR26" s="49"/>
      <c r="BS26" s="49" t="s">
        <v>267</v>
      </c>
      <c r="BT26" s="49"/>
      <c r="BU26" s="49"/>
      <c r="BV26" s="49"/>
      <c r="BW26" s="49"/>
      <c r="BX26" s="49"/>
      <c r="BY26" s="49"/>
      <c r="BZ26" s="50">
        <v>1</v>
      </c>
      <c r="CA26" s="50"/>
      <c r="CB26" s="50">
        <v>1</v>
      </c>
      <c r="CC26" s="50"/>
      <c r="CD26" s="50"/>
      <c r="CE26" s="50"/>
      <c r="CF26" s="50"/>
      <c r="CG26" s="50"/>
      <c r="CH26" s="50"/>
      <c r="CI26" s="46" t="str">
        <f>VLOOKUP(BK26,[2]ZDROJ!$A$2:$C$20,2,0)</f>
        <v>102020</v>
      </c>
      <c r="CJ26" s="62"/>
      <c r="CK26" s="62"/>
      <c r="CL26" s="62"/>
      <c r="CM26" s="62"/>
      <c r="CN26" s="55"/>
      <c r="CO26" s="55"/>
      <c r="CQ26" s="15" t="s">
        <v>456</v>
      </c>
      <c r="CR26" s="15" t="s">
        <v>457</v>
      </c>
    </row>
    <row r="27" spans="11:96" ht="17.25" customHeight="1" x14ac:dyDescent="0.25">
      <c r="K27" s="2" t="s">
        <v>458</v>
      </c>
      <c r="L27" s="38">
        <v>63000</v>
      </c>
      <c r="M27" s="38">
        <v>439.53488372093022</v>
      </c>
      <c r="N27" s="39" t="s">
        <v>459</v>
      </c>
      <c r="V27" s="88" t="s">
        <v>460</v>
      </c>
      <c r="W27" s="88" t="s">
        <v>461</v>
      </c>
      <c r="X27" s="88"/>
      <c r="Y27" s="88"/>
      <c r="Z27" s="88"/>
      <c r="AA27" s="88"/>
      <c r="AB27" s="88"/>
      <c r="AC27" s="88"/>
      <c r="AD27" s="88"/>
      <c r="AE27" s="88"/>
      <c r="AF27" s="88"/>
      <c r="AG27" s="88"/>
      <c r="AH27" s="88"/>
      <c r="AI27" s="88"/>
      <c r="AJ27" s="88"/>
      <c r="AK27" s="89"/>
      <c r="AL27" s="88"/>
      <c r="AM27" s="89"/>
      <c r="AN27" s="90" t="str">
        <f t="shared" si="0"/>
        <v>Personalista</v>
      </c>
      <c r="AO27" s="91" t="str">
        <f t="shared" si="1"/>
        <v>1.1.1.1.1.3</v>
      </c>
      <c r="BB27" s="43">
        <f t="shared" si="2"/>
        <v>0</v>
      </c>
      <c r="BC27" s="43" t="str">
        <f>IF(([1]Dotazník!$L$10=ZDROJE!BM27)*AND([1]Dotazník!$AB$20=ZDROJE!BK27)*AND([1]Dotazník!$AB$21=ZDROJE!BJ27),ZDROJE!BP27,"chyba")</f>
        <v>chyba</v>
      </c>
      <c r="BD27" s="43">
        <f t="shared" si="3"/>
        <v>0</v>
      </c>
      <c r="BE27" s="43" t="str">
        <f>IF(([1]Dotazník!$L$10=ZDROJE!BM27)*AND([1]Dotazník!$AB$20=ZDROJE!BK27)*AND([1]Dotazník!$AB$21=ZDROJE!BJ27),ZDROJE!CI27,"chyba")</f>
        <v>chyba</v>
      </c>
      <c r="BF27" s="45" t="s">
        <v>462</v>
      </c>
      <c r="BG27" s="46">
        <v>622</v>
      </c>
      <c r="BH27" s="46" t="s">
        <v>43</v>
      </c>
      <c r="BI27" s="46" t="s">
        <v>179</v>
      </c>
      <c r="BJ27" s="46" t="s">
        <v>196</v>
      </c>
      <c r="BK27" s="46" t="s">
        <v>180</v>
      </c>
      <c r="BL27" s="46" t="s">
        <v>241</v>
      </c>
      <c r="BM27" s="47" t="s">
        <v>288</v>
      </c>
      <c r="BN27" s="46" t="s">
        <v>289</v>
      </c>
      <c r="BO27" s="46" t="s">
        <v>129</v>
      </c>
      <c r="BP27" s="48" t="str">
        <f t="shared" si="4"/>
        <v>622 Rozvoj ESF PaN ZV KA2 DA2.3 TF</v>
      </c>
      <c r="BQ27" s="49"/>
      <c r="BR27" s="49"/>
      <c r="BS27" s="49"/>
      <c r="BT27" s="49"/>
      <c r="BU27" s="49"/>
      <c r="BV27" s="49"/>
      <c r="BW27" s="49" t="s">
        <v>270</v>
      </c>
      <c r="BX27" s="49"/>
      <c r="BY27" s="49"/>
      <c r="BZ27" s="50">
        <v>1</v>
      </c>
      <c r="CA27" s="50"/>
      <c r="CB27" s="50"/>
      <c r="CC27" s="50"/>
      <c r="CD27" s="50"/>
      <c r="CE27" s="50"/>
      <c r="CF27" s="50">
        <v>1</v>
      </c>
      <c r="CG27" s="50"/>
      <c r="CH27" s="50"/>
      <c r="CI27" s="46" t="str">
        <f>VLOOKUP(BK27,[2]ZDROJ!$A$2:$C$20,2,0)</f>
        <v>102020</v>
      </c>
      <c r="CJ27" s="62"/>
      <c r="CK27" s="62"/>
      <c r="CL27" s="62"/>
      <c r="CM27" s="62"/>
      <c r="CN27" s="55"/>
      <c r="CO27" s="55"/>
      <c r="CQ27" s="15" t="s">
        <v>463</v>
      </c>
      <c r="CR27" s="15" t="s">
        <v>464</v>
      </c>
    </row>
    <row r="28" spans="11:96" ht="17.25" customHeight="1" x14ac:dyDescent="0.25">
      <c r="K28" s="2" t="s">
        <v>465</v>
      </c>
      <c r="L28" s="38">
        <v>43000</v>
      </c>
      <c r="M28" s="38">
        <v>300</v>
      </c>
      <c r="N28" s="39" t="s">
        <v>466</v>
      </c>
      <c r="V28" s="88" t="s">
        <v>467</v>
      </c>
      <c r="W28" s="88" t="s">
        <v>468</v>
      </c>
      <c r="X28" s="88"/>
      <c r="Y28" s="88"/>
      <c r="Z28" s="88"/>
      <c r="AA28" s="88"/>
      <c r="AB28" s="88"/>
      <c r="AC28" s="88"/>
      <c r="AD28" s="88"/>
      <c r="AE28" s="88"/>
      <c r="AF28" s="88"/>
      <c r="AG28" s="88"/>
      <c r="AH28" s="88"/>
      <c r="AI28" s="88"/>
      <c r="AJ28" s="88"/>
      <c r="AK28" s="89"/>
      <c r="AL28" s="88"/>
      <c r="AM28" s="89"/>
      <c r="AN28" s="90" t="str">
        <f t="shared" si="0"/>
        <v>Fakultní koordinátor 2</v>
      </c>
      <c r="AO28" s="91" t="str">
        <f t="shared" si="1"/>
        <v>1.1.1.1.1.4</v>
      </c>
      <c r="BB28" s="43">
        <f t="shared" si="2"/>
        <v>0</v>
      </c>
      <c r="BC28" s="43" t="str">
        <f>IF(([1]Dotazník!$L$10=ZDROJE!BM28)*AND([1]Dotazník!$AB$20=ZDROJE!BK28)*AND([1]Dotazník!$AB$21=ZDROJE!BJ28),ZDROJE!BP28,"chyba")</f>
        <v>chyba</v>
      </c>
      <c r="BD28" s="43">
        <f t="shared" si="3"/>
        <v>0</v>
      </c>
      <c r="BE28" s="43" t="str">
        <f>IF(([1]Dotazník!$L$10=ZDROJE!BM28)*AND([1]Dotazník!$AB$20=ZDROJE!BK28)*AND([1]Dotazník!$AB$21=ZDROJE!BJ28),ZDROJE!CI28,"chyba")</f>
        <v>chyba</v>
      </c>
      <c r="BF28" s="45" t="s">
        <v>469</v>
      </c>
      <c r="BG28" s="46">
        <v>622</v>
      </c>
      <c r="BH28" s="46" t="s">
        <v>43</v>
      </c>
      <c r="BI28" s="46" t="s">
        <v>179</v>
      </c>
      <c r="BJ28" s="46" t="s">
        <v>148</v>
      </c>
      <c r="BK28" s="46" t="s">
        <v>180</v>
      </c>
      <c r="BL28" s="46" t="s">
        <v>241</v>
      </c>
      <c r="BM28" s="47" t="s">
        <v>305</v>
      </c>
      <c r="BN28" s="46" t="s">
        <v>306</v>
      </c>
      <c r="BO28" s="46" t="s">
        <v>124</v>
      </c>
      <c r="BP28" s="48" t="str">
        <f t="shared" si="4"/>
        <v>622 Rozvoj ESF PN ZV KA2 DA2.4 EF</v>
      </c>
      <c r="BQ28" s="49"/>
      <c r="BR28" s="49" t="s">
        <v>266</v>
      </c>
      <c r="BS28" s="49"/>
      <c r="BT28" s="49"/>
      <c r="BU28" s="49"/>
      <c r="BV28" s="49"/>
      <c r="BW28" s="49"/>
      <c r="BX28" s="49"/>
      <c r="BY28" s="49"/>
      <c r="BZ28" s="50">
        <v>1</v>
      </c>
      <c r="CA28" s="50">
        <v>1</v>
      </c>
      <c r="CB28" s="50"/>
      <c r="CC28" s="50"/>
      <c r="CD28" s="50"/>
      <c r="CE28" s="50"/>
      <c r="CF28" s="50"/>
      <c r="CG28" s="50"/>
      <c r="CH28" s="50"/>
      <c r="CI28" s="46" t="str">
        <f>VLOOKUP(BK28,[2]ZDROJ!$A$2:$C$20,2,0)</f>
        <v>102020</v>
      </c>
      <c r="CJ28" s="46" t="s">
        <v>181</v>
      </c>
      <c r="CK28" s="46" t="s">
        <v>182</v>
      </c>
      <c r="CL28" s="46" t="s">
        <v>183</v>
      </c>
      <c r="CM28" s="46" t="s">
        <v>184</v>
      </c>
      <c r="CN28" s="55"/>
      <c r="CO28" s="55"/>
      <c r="CQ28" s="15" t="s">
        <v>470</v>
      </c>
      <c r="CR28" s="15" t="s">
        <v>247</v>
      </c>
    </row>
    <row r="29" spans="11:96" ht="17.25" customHeight="1" x14ac:dyDescent="0.25">
      <c r="K29" s="2" t="s">
        <v>453</v>
      </c>
      <c r="L29" s="38">
        <v>35000</v>
      </c>
      <c r="M29" s="38">
        <v>244.18604651162789</v>
      </c>
      <c r="N29" s="39" t="s">
        <v>466</v>
      </c>
      <c r="V29" s="88" t="s">
        <v>471</v>
      </c>
      <c r="W29" s="88" t="s">
        <v>472</v>
      </c>
      <c r="X29" s="88"/>
      <c r="Y29" s="88"/>
      <c r="Z29" s="88"/>
      <c r="AA29" s="88"/>
      <c r="AB29" s="88"/>
      <c r="AC29" s="88"/>
      <c r="AD29" s="88"/>
      <c r="AE29" s="88"/>
      <c r="AF29" s="88"/>
      <c r="AG29" s="88"/>
      <c r="AH29" s="88"/>
      <c r="AI29" s="88"/>
      <c r="AJ29" s="88"/>
      <c r="AK29" s="89"/>
      <c r="AL29" s="88"/>
      <c r="AM29" s="89"/>
      <c r="AN29" s="90" t="str">
        <f t="shared" si="0"/>
        <v>Fakultní koordinátor 1</v>
      </c>
      <c r="AO29" s="91" t="str">
        <f t="shared" si="1"/>
        <v>1.1.1.1.1.5</v>
      </c>
      <c r="BB29" s="43">
        <f t="shared" si="2"/>
        <v>0</v>
      </c>
      <c r="BC29" s="43" t="str">
        <f>IF(([1]Dotazník!$L$10=ZDROJE!BM29)*AND([1]Dotazník!$AB$20=ZDROJE!BK29)*AND([1]Dotazník!$AB$21=ZDROJE!BJ29),ZDROJE!BP29,"chyba")</f>
        <v>chyba</v>
      </c>
      <c r="BD29" s="43">
        <f t="shared" si="3"/>
        <v>0</v>
      </c>
      <c r="BE29" s="43" t="str">
        <f>IF(([1]Dotazník!$L$10=ZDROJE!BM29)*AND([1]Dotazník!$AB$20=ZDROJE!BK29)*AND([1]Dotazník!$AB$21=ZDROJE!BJ29),ZDROJE!CI29,"chyba")</f>
        <v>chyba</v>
      </c>
      <c r="BF29" s="45" t="s">
        <v>473</v>
      </c>
      <c r="BG29" s="46">
        <v>622</v>
      </c>
      <c r="BH29" s="46" t="s">
        <v>43</v>
      </c>
      <c r="BI29" s="46" t="s">
        <v>179</v>
      </c>
      <c r="BJ29" s="46" t="s">
        <v>148</v>
      </c>
      <c r="BK29" s="46" t="s">
        <v>217</v>
      </c>
      <c r="BL29" s="46" t="s">
        <v>241</v>
      </c>
      <c r="BM29" s="47" t="s">
        <v>305</v>
      </c>
      <c r="BN29" s="46" t="s">
        <v>306</v>
      </c>
      <c r="BO29" s="46" t="s">
        <v>124</v>
      </c>
      <c r="BP29" s="48" t="str">
        <f t="shared" si="4"/>
        <v>622 Rozvoj ESF PN NV KA2 DA2.4 EF</v>
      </c>
      <c r="BQ29" s="49"/>
      <c r="BR29" s="49" t="s">
        <v>266</v>
      </c>
      <c r="BS29" s="49"/>
      <c r="BT29" s="49"/>
      <c r="BU29" s="49"/>
      <c r="BV29" s="49"/>
      <c r="BW29" s="49"/>
      <c r="BX29" s="49"/>
      <c r="BY29" s="49"/>
      <c r="BZ29" s="50">
        <v>1</v>
      </c>
      <c r="CA29" s="50">
        <v>1</v>
      </c>
      <c r="CB29" s="50"/>
      <c r="CC29" s="50"/>
      <c r="CD29" s="50"/>
      <c r="CE29" s="50"/>
      <c r="CF29" s="50"/>
      <c r="CG29" s="50"/>
      <c r="CH29" s="50"/>
      <c r="CI29" s="46" t="str">
        <f>VLOOKUP(BK29,[2]ZDROJ!$A$2:$C$20,2,0)</f>
        <v>102031</v>
      </c>
      <c r="CJ29" s="46" t="s">
        <v>181</v>
      </c>
      <c r="CK29" s="46" t="s">
        <v>182</v>
      </c>
      <c r="CL29" s="46" t="s">
        <v>183</v>
      </c>
      <c r="CM29" s="46" t="s">
        <v>184</v>
      </c>
      <c r="CN29" s="55"/>
      <c r="CO29" s="55"/>
      <c r="CQ29" s="15" t="s">
        <v>474</v>
      </c>
      <c r="CR29" s="15" t="s">
        <v>475</v>
      </c>
    </row>
    <row r="30" spans="11:96" ht="17.25" customHeight="1" x14ac:dyDescent="0.25">
      <c r="K30" s="2" t="s">
        <v>471</v>
      </c>
      <c r="L30" s="38">
        <v>41000</v>
      </c>
      <c r="M30" s="38">
        <v>286.04651162790697</v>
      </c>
      <c r="N30" s="39" t="s">
        <v>476</v>
      </c>
      <c r="V30" s="88" t="s">
        <v>301</v>
      </c>
      <c r="W30" s="88" t="s">
        <v>477</v>
      </c>
      <c r="X30" s="88"/>
      <c r="Y30" s="88"/>
      <c r="Z30" s="88"/>
      <c r="AA30" s="88"/>
      <c r="AB30" s="88"/>
      <c r="AC30" s="88"/>
      <c r="AD30" s="88"/>
      <c r="AE30" s="88"/>
      <c r="AF30" s="88"/>
      <c r="AG30" s="88"/>
      <c r="AH30" s="88"/>
      <c r="AI30" s="88"/>
      <c r="AJ30" s="88"/>
      <c r="AK30" s="89"/>
      <c r="AL30" s="88"/>
      <c r="AM30" s="89"/>
      <c r="AN30" s="90" t="str">
        <f t="shared" si="0"/>
        <v>Administrativní síla</v>
      </c>
      <c r="AO30" s="91" t="str">
        <f t="shared" si="1"/>
        <v>1.1.1.1.1.6</v>
      </c>
      <c r="BB30" s="43">
        <f t="shared" si="2"/>
        <v>0</v>
      </c>
      <c r="BC30" s="43" t="str">
        <f>IF(([1]Dotazník!$L$10=ZDROJE!BM30)*AND([1]Dotazník!$AB$20=ZDROJE!BK30)*AND([1]Dotazník!$AB$21=ZDROJE!BJ30),ZDROJE!BP30,"chyba")</f>
        <v>chyba</v>
      </c>
      <c r="BD30" s="43">
        <f t="shared" si="3"/>
        <v>0</v>
      </c>
      <c r="BE30" s="43" t="str">
        <f>IF(([1]Dotazník!$L$10=ZDROJE!BM30)*AND([1]Dotazník!$AB$20=ZDROJE!BK30)*AND([1]Dotazník!$AB$21=ZDROJE!BJ30),ZDROJE!CI30,"chyba")</f>
        <v>chyba</v>
      </c>
      <c r="BF30" s="45" t="s">
        <v>478</v>
      </c>
      <c r="BG30" s="46">
        <v>622</v>
      </c>
      <c r="BH30" s="46" t="s">
        <v>43</v>
      </c>
      <c r="BI30" s="46" t="s">
        <v>179</v>
      </c>
      <c r="BJ30" s="46" t="s">
        <v>196</v>
      </c>
      <c r="BK30" s="46" t="s">
        <v>180</v>
      </c>
      <c r="BL30" s="46" t="s">
        <v>241</v>
      </c>
      <c r="BM30" s="47" t="s">
        <v>305</v>
      </c>
      <c r="BN30" s="46" t="s">
        <v>306</v>
      </c>
      <c r="BO30" s="46" t="s">
        <v>124</v>
      </c>
      <c r="BP30" s="48" t="str">
        <f t="shared" si="4"/>
        <v>622 Rozvoj ESF PaN ZV KA2 DA2.4 EF</v>
      </c>
      <c r="BQ30" s="49"/>
      <c r="BR30" s="49" t="s">
        <v>266</v>
      </c>
      <c r="BS30" s="49"/>
      <c r="BT30" s="49"/>
      <c r="BU30" s="49"/>
      <c r="BV30" s="49"/>
      <c r="BW30" s="49"/>
      <c r="BX30" s="49"/>
      <c r="BY30" s="49"/>
      <c r="BZ30" s="50">
        <v>1</v>
      </c>
      <c r="CA30" s="50">
        <v>1</v>
      </c>
      <c r="CB30" s="50"/>
      <c r="CC30" s="50"/>
      <c r="CD30" s="50"/>
      <c r="CE30" s="50"/>
      <c r="CF30" s="50"/>
      <c r="CG30" s="50"/>
      <c r="CH30" s="50"/>
      <c r="CI30" s="46" t="str">
        <f>VLOOKUP(BK30,[2]ZDROJ!$A$2:$C$20,2,0)</f>
        <v>102020</v>
      </c>
      <c r="CJ30" s="62"/>
      <c r="CK30" s="62"/>
      <c r="CL30" s="62"/>
      <c r="CM30" s="62"/>
      <c r="CN30" s="55"/>
      <c r="CO30" s="55"/>
      <c r="CQ30" s="15" t="s">
        <v>479</v>
      </c>
      <c r="CR30" s="15" t="s">
        <v>480</v>
      </c>
    </row>
    <row r="31" spans="11:96" ht="17.25" customHeight="1" x14ac:dyDescent="0.25">
      <c r="K31" s="2" t="s">
        <v>467</v>
      </c>
      <c r="L31" s="38">
        <v>35000</v>
      </c>
      <c r="M31" s="38">
        <v>244.18604651162789</v>
      </c>
      <c r="N31" s="39" t="s">
        <v>476</v>
      </c>
      <c r="V31" s="88" t="s">
        <v>458</v>
      </c>
      <c r="W31" s="88" t="s">
        <v>481</v>
      </c>
      <c r="X31" s="88"/>
      <c r="Y31" s="88"/>
      <c r="Z31" s="88"/>
      <c r="AA31" s="88"/>
      <c r="AB31" s="88"/>
      <c r="AC31" s="88"/>
      <c r="AD31" s="88"/>
      <c r="AE31" s="88"/>
      <c r="AF31" s="88"/>
      <c r="AG31" s="88"/>
      <c r="AH31" s="88"/>
      <c r="AI31" s="88"/>
      <c r="AJ31" s="88"/>
      <c r="AK31" s="89"/>
      <c r="AL31" s="88"/>
      <c r="AM31" s="89"/>
      <c r="AN31" s="90" t="str">
        <f t="shared" si="0"/>
        <v>Administrativní ředitel projektu</v>
      </c>
      <c r="AO31" s="91" t="str">
        <f t="shared" si="1"/>
        <v>1.1.1.1.1.7</v>
      </c>
      <c r="BB31" s="43">
        <f t="shared" si="2"/>
        <v>0</v>
      </c>
      <c r="BC31" s="43" t="str">
        <f>IF(([1]Dotazník!$L$10=ZDROJE!BM31)*AND([1]Dotazník!$AB$20=ZDROJE!BK31)*AND([1]Dotazník!$AB$21=ZDROJE!BJ31),ZDROJE!BP31,"chyba")</f>
        <v>chyba</v>
      </c>
      <c r="BD31" s="43">
        <f t="shared" si="3"/>
        <v>0</v>
      </c>
      <c r="BE31" s="43" t="str">
        <f>IF(([1]Dotazník!$L$10=ZDROJE!BM31)*AND([1]Dotazník!$AB$20=ZDROJE!BK31)*AND([1]Dotazník!$AB$21=ZDROJE!BJ31),ZDROJE!CI31,"chyba")</f>
        <v>chyba</v>
      </c>
      <c r="BF31" s="45" t="s">
        <v>482</v>
      </c>
      <c r="BG31" s="46">
        <v>622</v>
      </c>
      <c r="BH31" s="46" t="s">
        <v>43</v>
      </c>
      <c r="BI31" s="46" t="s">
        <v>179</v>
      </c>
      <c r="BJ31" s="46" t="s">
        <v>148</v>
      </c>
      <c r="BK31" s="46" t="s">
        <v>180</v>
      </c>
      <c r="BL31" s="46" t="s">
        <v>175</v>
      </c>
      <c r="BM31" s="47" t="s">
        <v>325</v>
      </c>
      <c r="BN31" s="46" t="s">
        <v>326</v>
      </c>
      <c r="BO31" s="46" t="s">
        <v>132</v>
      </c>
      <c r="BP31" s="48" t="str">
        <f t="shared" si="4"/>
        <v>622 Rozvoj ESF PN ZV KA3 DA3.1 REK</v>
      </c>
      <c r="BQ31" s="49"/>
      <c r="BR31" s="49"/>
      <c r="BS31" s="49"/>
      <c r="BT31" s="49"/>
      <c r="BU31" s="49"/>
      <c r="BV31" s="49"/>
      <c r="BW31" s="49"/>
      <c r="BX31" s="49" t="s">
        <v>271</v>
      </c>
      <c r="BY31" s="49"/>
      <c r="BZ31" s="50">
        <v>1</v>
      </c>
      <c r="CA31" s="50"/>
      <c r="CB31" s="50"/>
      <c r="CC31" s="50"/>
      <c r="CD31" s="50"/>
      <c r="CE31" s="50"/>
      <c r="CF31" s="50"/>
      <c r="CG31" s="50">
        <v>1</v>
      </c>
      <c r="CH31" s="50"/>
      <c r="CI31" s="46" t="str">
        <f>VLOOKUP(BK31,[2]ZDROJ!$A$2:$C$20,2,0)</f>
        <v>102020</v>
      </c>
      <c r="CJ31" s="46" t="s">
        <v>181</v>
      </c>
      <c r="CK31" s="46" t="s">
        <v>182</v>
      </c>
      <c r="CL31" s="46" t="s">
        <v>183</v>
      </c>
      <c r="CM31" s="46" t="s">
        <v>184</v>
      </c>
      <c r="CN31" s="55"/>
      <c r="CO31" s="55"/>
      <c r="CQ31" s="15" t="s">
        <v>483</v>
      </c>
      <c r="CR31" s="15" t="s">
        <v>484</v>
      </c>
    </row>
    <row r="32" spans="11:96" ht="17.25" customHeight="1" x14ac:dyDescent="0.25">
      <c r="K32" s="2" t="s">
        <v>259</v>
      </c>
      <c r="L32" s="38">
        <v>28000</v>
      </c>
      <c r="M32" s="38">
        <v>195.3488372093023</v>
      </c>
      <c r="N32" s="39" t="s">
        <v>485</v>
      </c>
      <c r="V32" s="88" t="s">
        <v>321</v>
      </c>
      <c r="W32" s="88" t="s">
        <v>486</v>
      </c>
      <c r="X32" s="88"/>
      <c r="Y32" s="88"/>
      <c r="Z32" s="88"/>
      <c r="AA32" s="88"/>
      <c r="AB32" s="88"/>
      <c r="AC32" s="88"/>
      <c r="AD32" s="88"/>
      <c r="AE32" s="88"/>
      <c r="AF32" s="88"/>
      <c r="AG32" s="88"/>
      <c r="AH32" s="88"/>
      <c r="AI32" s="88"/>
      <c r="AJ32" s="88"/>
      <c r="AK32" s="89"/>
      <c r="AL32" s="88"/>
      <c r="AM32" s="89"/>
      <c r="AN32" s="90" t="str">
        <f t="shared" si="0"/>
        <v>Účetní</v>
      </c>
      <c r="AO32" s="91" t="str">
        <f t="shared" si="1"/>
        <v>1.1.1.1.1.8</v>
      </c>
      <c r="BB32" s="43">
        <f t="shared" si="2"/>
        <v>0</v>
      </c>
      <c r="BC32" s="43" t="str">
        <f>IF(([1]Dotazník!$L$10=ZDROJE!BM32)*AND([1]Dotazník!$AB$20=ZDROJE!BK32)*AND([1]Dotazník!$AB$21=ZDROJE!BJ32),ZDROJE!BP32,"chyba")</f>
        <v>chyba</v>
      </c>
      <c r="BD32" s="43">
        <f t="shared" si="3"/>
        <v>0</v>
      </c>
      <c r="BE32" s="43" t="str">
        <f>IF(([1]Dotazník!$L$10=ZDROJE!BM32)*AND([1]Dotazník!$AB$20=ZDROJE!BK32)*AND([1]Dotazník!$AB$21=ZDROJE!BJ32),ZDROJE!CI32,"chyba")</f>
        <v>chyba</v>
      </c>
      <c r="BF32" s="45" t="s">
        <v>487</v>
      </c>
      <c r="BG32" s="46">
        <v>622</v>
      </c>
      <c r="BH32" s="46" t="s">
        <v>43</v>
      </c>
      <c r="BI32" s="46" t="s">
        <v>179</v>
      </c>
      <c r="BJ32" s="46" t="s">
        <v>148</v>
      </c>
      <c r="BK32" s="46" t="s">
        <v>217</v>
      </c>
      <c r="BL32" s="46" t="s">
        <v>175</v>
      </c>
      <c r="BM32" s="47" t="s">
        <v>325</v>
      </c>
      <c r="BN32" s="46" t="s">
        <v>326</v>
      </c>
      <c r="BO32" s="46" t="s">
        <v>132</v>
      </c>
      <c r="BP32" s="48" t="str">
        <f t="shared" si="4"/>
        <v>622 Rozvoj ESF PN NV KA3 DA3.1 REK</v>
      </c>
      <c r="BQ32" s="49"/>
      <c r="BR32" s="49"/>
      <c r="BS32" s="49"/>
      <c r="BT32" s="49"/>
      <c r="BU32" s="49"/>
      <c r="BV32" s="49"/>
      <c r="BW32" s="49"/>
      <c r="BX32" s="49" t="s">
        <v>271</v>
      </c>
      <c r="BY32" s="49"/>
      <c r="BZ32" s="50">
        <v>1</v>
      </c>
      <c r="CA32" s="50"/>
      <c r="CB32" s="50"/>
      <c r="CC32" s="50"/>
      <c r="CD32" s="50"/>
      <c r="CE32" s="50"/>
      <c r="CF32" s="50"/>
      <c r="CG32" s="50">
        <v>1</v>
      </c>
      <c r="CH32" s="50"/>
      <c r="CI32" s="46" t="str">
        <f>VLOOKUP(BK32,[2]ZDROJ!$A$2:$C$20,2,0)</f>
        <v>102031</v>
      </c>
      <c r="CJ32" s="46" t="s">
        <v>181</v>
      </c>
      <c r="CK32" s="46" t="s">
        <v>182</v>
      </c>
      <c r="CL32" s="46" t="s">
        <v>183</v>
      </c>
      <c r="CM32" s="46" t="s">
        <v>184</v>
      </c>
      <c r="CN32" s="55"/>
      <c r="CO32" s="55"/>
      <c r="CQ32" s="15" t="s">
        <v>488</v>
      </c>
      <c r="CR32" s="15" t="s">
        <v>489</v>
      </c>
    </row>
    <row r="33" spans="11:96" ht="17.25" customHeight="1" x14ac:dyDescent="0.25">
      <c r="K33" s="2" t="s">
        <v>284</v>
      </c>
      <c r="L33" s="38">
        <v>28000</v>
      </c>
      <c r="M33" s="38">
        <v>195.3488372093023</v>
      </c>
      <c r="N33" s="39" t="s">
        <v>490</v>
      </c>
      <c r="BB33" s="43">
        <f t="shared" si="2"/>
        <v>0</v>
      </c>
      <c r="BC33" s="43" t="str">
        <f>IF(([1]Dotazník!$L$10=ZDROJE!BM33)*AND([1]Dotazník!$AB$20=ZDROJE!BK33)*AND([1]Dotazník!$AB$21=ZDROJE!BJ33),ZDROJE!BP33,"chyba")</f>
        <v>chyba</v>
      </c>
      <c r="BD33" s="43">
        <f t="shared" si="3"/>
        <v>0</v>
      </c>
      <c r="BE33" s="43" t="str">
        <f>IF(([1]Dotazník!$L$10=ZDROJE!BM33)*AND([1]Dotazník!$AB$20=ZDROJE!BK33)*AND([1]Dotazník!$AB$21=ZDROJE!BJ33),ZDROJE!CI33,"chyba")</f>
        <v>chyba</v>
      </c>
      <c r="BF33" s="45" t="s">
        <v>491</v>
      </c>
      <c r="BG33" s="46">
        <v>622</v>
      </c>
      <c r="BH33" s="46" t="s">
        <v>43</v>
      </c>
      <c r="BI33" s="46" t="s">
        <v>179</v>
      </c>
      <c r="BJ33" s="46" t="s">
        <v>196</v>
      </c>
      <c r="BK33" s="46" t="s">
        <v>180</v>
      </c>
      <c r="BL33" s="46" t="s">
        <v>175</v>
      </c>
      <c r="BM33" s="47" t="s">
        <v>325</v>
      </c>
      <c r="BN33" s="46" t="s">
        <v>326</v>
      </c>
      <c r="BO33" s="46" t="s">
        <v>130</v>
      </c>
      <c r="BP33" s="48" t="str">
        <f t="shared" si="4"/>
        <v>622 Rozvoj ESF PaN ZV KA3 DA3.1 ZSF</v>
      </c>
      <c r="BQ33" s="49"/>
      <c r="BR33" s="49"/>
      <c r="BS33" s="49"/>
      <c r="BT33" s="49"/>
      <c r="BU33" s="49"/>
      <c r="BV33" s="49"/>
      <c r="BW33" s="49"/>
      <c r="BX33" s="49" t="s">
        <v>271</v>
      </c>
      <c r="BY33" s="49"/>
      <c r="BZ33" s="50">
        <v>1</v>
      </c>
      <c r="CA33" s="50"/>
      <c r="CB33" s="50"/>
      <c r="CC33" s="50"/>
      <c r="CD33" s="50"/>
      <c r="CE33" s="50"/>
      <c r="CF33" s="50"/>
      <c r="CG33" s="50">
        <v>1</v>
      </c>
      <c r="CH33" s="50"/>
      <c r="CI33" s="46" t="str">
        <f>VLOOKUP(BK33,[2]ZDROJ!$A$2:$C$20,2,0)</f>
        <v>102020</v>
      </c>
      <c r="CJ33" s="62"/>
      <c r="CK33" s="62"/>
      <c r="CL33" s="62"/>
      <c r="CM33" s="62"/>
      <c r="CN33" s="55"/>
      <c r="CO33" s="55"/>
      <c r="CQ33" s="15" t="s">
        <v>492</v>
      </c>
      <c r="CR33" s="15" t="s">
        <v>404</v>
      </c>
    </row>
    <row r="34" spans="11:96" ht="17.25" customHeight="1" x14ac:dyDescent="0.25">
      <c r="K34" s="2" t="s">
        <v>460</v>
      </c>
      <c r="L34" s="38">
        <v>30000</v>
      </c>
      <c r="M34" s="38">
        <v>209.30232558139534</v>
      </c>
      <c r="N34" s="39" t="s">
        <v>493</v>
      </c>
      <c r="BB34" s="43">
        <f t="shared" si="2"/>
        <v>0</v>
      </c>
      <c r="BC34" s="43" t="str">
        <f>IF(([1]Dotazník!$L$10=ZDROJE!BM34)*AND([1]Dotazník!$AB$20=ZDROJE!BK34)*AND([1]Dotazník!$AB$21=ZDROJE!BJ34),ZDROJE!BP34,"chyba")</f>
        <v>chyba</v>
      </c>
      <c r="BD34" s="43">
        <f t="shared" si="3"/>
        <v>0</v>
      </c>
      <c r="BE34" s="43" t="str">
        <f>IF(([1]Dotazník!$L$10=ZDROJE!BM34)*AND([1]Dotazník!$AB$20=ZDROJE!BK34)*AND([1]Dotazník!$AB$21=ZDROJE!BJ34),ZDROJE!CI34,"chyba")</f>
        <v>chyba</v>
      </c>
      <c r="BF34" s="45" t="s">
        <v>494</v>
      </c>
      <c r="BG34" s="46">
        <v>622</v>
      </c>
      <c r="BH34" s="46" t="s">
        <v>43</v>
      </c>
      <c r="BI34" s="46" t="s">
        <v>179</v>
      </c>
      <c r="BJ34" s="46" t="s">
        <v>148</v>
      </c>
      <c r="BK34" s="46" t="s">
        <v>180</v>
      </c>
      <c r="BL34" s="46" t="s">
        <v>175</v>
      </c>
      <c r="BM34" s="47" t="s">
        <v>343</v>
      </c>
      <c r="BN34" s="46" t="s">
        <v>344</v>
      </c>
      <c r="BO34" s="46" t="s">
        <v>132</v>
      </c>
      <c r="BP34" s="48" t="str">
        <f t="shared" si="4"/>
        <v>622 Rozvoj ESF PN ZV KA3 DA3.2 REK</v>
      </c>
      <c r="BQ34" s="49"/>
      <c r="BR34" s="49"/>
      <c r="BS34" s="49"/>
      <c r="BT34" s="49"/>
      <c r="BU34" s="49"/>
      <c r="BV34" s="49"/>
      <c r="BW34" s="49"/>
      <c r="BX34" s="49" t="s">
        <v>271</v>
      </c>
      <c r="BY34" s="49"/>
      <c r="BZ34" s="50">
        <v>1</v>
      </c>
      <c r="CA34" s="50"/>
      <c r="CB34" s="50"/>
      <c r="CC34" s="50"/>
      <c r="CD34" s="50"/>
      <c r="CE34" s="50"/>
      <c r="CF34" s="50"/>
      <c r="CG34" s="50">
        <v>1</v>
      </c>
      <c r="CH34" s="50"/>
      <c r="CI34" s="46" t="str">
        <f>VLOOKUP(BK34,[2]ZDROJ!$A$2:$C$20,2,0)</f>
        <v>102020</v>
      </c>
      <c r="CJ34" s="46" t="s">
        <v>181</v>
      </c>
      <c r="CK34" s="46" t="s">
        <v>182</v>
      </c>
      <c r="CL34" s="46" t="s">
        <v>183</v>
      </c>
      <c r="CM34" s="46" t="s">
        <v>184</v>
      </c>
      <c r="CN34" s="55"/>
      <c r="CO34" s="55"/>
      <c r="CQ34" s="15" t="s">
        <v>495</v>
      </c>
      <c r="CR34" s="15" t="s">
        <v>496</v>
      </c>
    </row>
    <row r="35" spans="11:96" ht="17.25" customHeight="1" x14ac:dyDescent="0.25">
      <c r="K35" s="2" t="s">
        <v>321</v>
      </c>
      <c r="L35" s="38">
        <v>37000</v>
      </c>
      <c r="M35" s="38">
        <v>258.1395348837209</v>
      </c>
      <c r="N35" s="39" t="s">
        <v>497</v>
      </c>
      <c r="BB35" s="43">
        <f t="shared" si="2"/>
        <v>0</v>
      </c>
      <c r="BC35" s="43" t="str">
        <f>IF(([1]Dotazník!$L$10=ZDROJE!BM35)*AND([1]Dotazník!$AB$20=ZDROJE!BK35)*AND([1]Dotazník!$AB$21=ZDROJE!BJ35),ZDROJE!BP35,"chyba")</f>
        <v>chyba</v>
      </c>
      <c r="BD35" s="43">
        <f t="shared" si="3"/>
        <v>0</v>
      </c>
      <c r="BE35" s="43" t="str">
        <f>IF(([1]Dotazník!$L$10=ZDROJE!BM35)*AND([1]Dotazník!$AB$20=ZDROJE!BK35)*AND([1]Dotazník!$AB$21=ZDROJE!BJ35),ZDROJE!CI35,"chyba")</f>
        <v>chyba</v>
      </c>
      <c r="BF35" s="45" t="s">
        <v>498</v>
      </c>
      <c r="BG35" s="46">
        <v>622</v>
      </c>
      <c r="BH35" s="46" t="s">
        <v>43</v>
      </c>
      <c r="BI35" s="46" t="s">
        <v>179</v>
      </c>
      <c r="BJ35" s="46" t="s">
        <v>148</v>
      </c>
      <c r="BK35" s="46" t="s">
        <v>217</v>
      </c>
      <c r="BL35" s="46" t="s">
        <v>175</v>
      </c>
      <c r="BM35" s="47" t="s">
        <v>343</v>
      </c>
      <c r="BN35" s="46" t="s">
        <v>344</v>
      </c>
      <c r="BO35" s="46" t="s">
        <v>132</v>
      </c>
      <c r="BP35" s="48" t="str">
        <f t="shared" si="4"/>
        <v>622 Rozvoj ESF PN NV KA3 DA3.2 REK</v>
      </c>
      <c r="BQ35" s="49"/>
      <c r="BR35" s="49"/>
      <c r="BS35" s="49"/>
      <c r="BT35" s="49"/>
      <c r="BU35" s="49"/>
      <c r="BV35" s="49"/>
      <c r="BW35" s="49"/>
      <c r="BX35" s="49" t="s">
        <v>271</v>
      </c>
      <c r="BY35" s="49"/>
      <c r="BZ35" s="50">
        <v>1</v>
      </c>
      <c r="CA35" s="50"/>
      <c r="CB35" s="50"/>
      <c r="CC35" s="50"/>
      <c r="CD35" s="50"/>
      <c r="CE35" s="50"/>
      <c r="CF35" s="50"/>
      <c r="CG35" s="50">
        <v>1</v>
      </c>
      <c r="CH35" s="50"/>
      <c r="CI35" s="46" t="str">
        <f>VLOOKUP(BK35,[2]ZDROJ!$A$2:$C$20,2,0)</f>
        <v>102031</v>
      </c>
      <c r="CJ35" s="46" t="s">
        <v>181</v>
      </c>
      <c r="CK35" s="46" t="s">
        <v>182</v>
      </c>
      <c r="CL35" s="46" t="s">
        <v>183</v>
      </c>
      <c r="CM35" s="46" t="s">
        <v>184</v>
      </c>
      <c r="CN35" s="55"/>
      <c r="CO35" s="55"/>
      <c r="CQ35" s="15" t="s">
        <v>499</v>
      </c>
      <c r="CR35" s="15" t="s">
        <v>500</v>
      </c>
    </row>
    <row r="36" spans="11:96" ht="17.25" customHeight="1" x14ac:dyDescent="0.25">
      <c r="K36" s="2" t="s">
        <v>501</v>
      </c>
      <c r="L36" s="38">
        <v>31000</v>
      </c>
      <c r="M36" s="38">
        <v>216.27906976744185</v>
      </c>
      <c r="N36" s="39" t="s">
        <v>502</v>
      </c>
      <c r="BB36" s="43">
        <f t="shared" si="2"/>
        <v>0</v>
      </c>
      <c r="BC36" s="43" t="str">
        <f>IF(([1]Dotazník!$L$10=ZDROJE!BM36)*AND([1]Dotazník!$AB$20=ZDROJE!BK36)*AND([1]Dotazník!$AB$21=ZDROJE!BJ36),ZDROJE!BP36,"chyba")</f>
        <v>chyba</v>
      </c>
      <c r="BD36" s="43">
        <f t="shared" si="3"/>
        <v>0</v>
      </c>
      <c r="BE36" s="43" t="str">
        <f>IF(([1]Dotazník!$L$10=ZDROJE!BM36)*AND([1]Dotazník!$AB$20=ZDROJE!BK36)*AND([1]Dotazník!$AB$21=ZDROJE!BJ36),ZDROJE!CI36,"chyba")</f>
        <v>chyba</v>
      </c>
      <c r="BF36" s="45" t="s">
        <v>503</v>
      </c>
      <c r="BG36" s="46">
        <v>622</v>
      </c>
      <c r="BH36" s="46" t="s">
        <v>43</v>
      </c>
      <c r="BI36" s="46" t="s">
        <v>179</v>
      </c>
      <c r="BJ36" s="46" t="s">
        <v>196</v>
      </c>
      <c r="BK36" s="46" t="s">
        <v>180</v>
      </c>
      <c r="BL36" s="46" t="s">
        <v>175</v>
      </c>
      <c r="BM36" s="47" t="s">
        <v>343</v>
      </c>
      <c r="BN36" s="46" t="s">
        <v>344</v>
      </c>
      <c r="BO36" s="46" t="s">
        <v>130</v>
      </c>
      <c r="BP36" s="48" t="str">
        <f t="shared" si="4"/>
        <v>622 Rozvoj ESF PaN ZV KA3 DA3.2 ZSF</v>
      </c>
      <c r="BQ36" s="49"/>
      <c r="BR36" s="49"/>
      <c r="BS36" s="49"/>
      <c r="BT36" s="49"/>
      <c r="BU36" s="49"/>
      <c r="BV36" s="49"/>
      <c r="BW36" s="49"/>
      <c r="BX36" s="49" t="s">
        <v>271</v>
      </c>
      <c r="BY36" s="49"/>
      <c r="BZ36" s="50">
        <v>1</v>
      </c>
      <c r="CA36" s="50"/>
      <c r="CB36" s="50"/>
      <c r="CC36" s="50"/>
      <c r="CD36" s="50"/>
      <c r="CE36" s="50"/>
      <c r="CF36" s="50"/>
      <c r="CG36" s="50">
        <v>1</v>
      </c>
      <c r="CH36" s="50"/>
      <c r="CI36" s="46" t="str">
        <f>VLOOKUP(BK36,[2]ZDROJ!$A$2:$C$20,2,0)</f>
        <v>102020</v>
      </c>
      <c r="CJ36" s="62"/>
      <c r="CK36" s="62"/>
      <c r="CL36" s="62"/>
      <c r="CM36" s="62"/>
      <c r="CN36" s="55"/>
      <c r="CO36" s="55"/>
      <c r="CQ36" s="15" t="s">
        <v>504</v>
      </c>
      <c r="CR36" s="15" t="s">
        <v>505</v>
      </c>
    </row>
    <row r="37" spans="11:96" ht="17.25" customHeight="1" x14ac:dyDescent="0.25">
      <c r="K37" s="2" t="s">
        <v>301</v>
      </c>
      <c r="L37" s="38">
        <v>23000</v>
      </c>
      <c r="M37" s="38">
        <v>160.46511627906975</v>
      </c>
      <c r="N37" s="39" t="s">
        <v>506</v>
      </c>
      <c r="BB37" s="43">
        <f t="shared" si="2"/>
        <v>0</v>
      </c>
      <c r="BC37" s="43" t="str">
        <f>IF(([1]Dotazník!$L$10=ZDROJE!BM37)*AND([1]Dotazník!$AB$20=ZDROJE!BK37)*AND([1]Dotazník!$AB$21=ZDROJE!BJ37),ZDROJE!BP37,"chyba")</f>
        <v>chyba</v>
      </c>
      <c r="BD37" s="43">
        <f t="shared" si="3"/>
        <v>0</v>
      </c>
      <c r="BE37" s="43" t="str">
        <f>IF(([1]Dotazník!$L$10=ZDROJE!BM37)*AND([1]Dotazník!$AB$20=ZDROJE!BK37)*AND([1]Dotazník!$AB$21=ZDROJE!BJ37),ZDROJE!CI37,"chyba")</f>
        <v>chyba</v>
      </c>
      <c r="BF37" s="45" t="s">
        <v>507</v>
      </c>
      <c r="BG37" s="46">
        <v>622</v>
      </c>
      <c r="BH37" s="46" t="s">
        <v>43</v>
      </c>
      <c r="BI37" s="46" t="s">
        <v>179</v>
      </c>
      <c r="BJ37" s="46" t="s">
        <v>148</v>
      </c>
      <c r="BK37" s="46" t="s">
        <v>180</v>
      </c>
      <c r="BL37" s="46" t="s">
        <v>359</v>
      </c>
      <c r="BM37" s="47" t="s">
        <v>358</v>
      </c>
      <c r="BN37" s="46" t="s">
        <v>360</v>
      </c>
      <c r="BO37" s="46" t="s">
        <v>132</v>
      </c>
      <c r="BP37" s="48" t="str">
        <f t="shared" si="4"/>
        <v>622 Rozvoj ESF PN ZV KA4 DA4.0 REK</v>
      </c>
      <c r="BQ37" s="49" t="s">
        <v>157</v>
      </c>
      <c r="BR37" s="49" t="s">
        <v>266</v>
      </c>
      <c r="BS37" s="49" t="s">
        <v>267</v>
      </c>
      <c r="BT37" s="49" t="s">
        <v>256</v>
      </c>
      <c r="BU37" s="49" t="s">
        <v>268</v>
      </c>
      <c r="BV37" s="49" t="s">
        <v>269</v>
      </c>
      <c r="BW37" s="49" t="s">
        <v>270</v>
      </c>
      <c r="BX37" s="49" t="s">
        <v>271</v>
      </c>
      <c r="BY37" s="49" t="s">
        <v>272</v>
      </c>
      <c r="BZ37" s="50">
        <v>1</v>
      </c>
      <c r="CA37" s="50">
        <v>1</v>
      </c>
      <c r="CB37" s="50">
        <v>1</v>
      </c>
      <c r="CC37" s="50">
        <v>1</v>
      </c>
      <c r="CD37" s="50">
        <v>1</v>
      </c>
      <c r="CE37" s="50">
        <v>1</v>
      </c>
      <c r="CF37" s="50">
        <v>1</v>
      </c>
      <c r="CG37" s="50">
        <v>1</v>
      </c>
      <c r="CH37" s="50">
        <v>1</v>
      </c>
      <c r="CI37" s="46" t="str">
        <f>VLOOKUP(BK37,[2]ZDROJ!$A$2:$C$20,2,0)</f>
        <v>102020</v>
      </c>
      <c r="CJ37" s="46" t="s">
        <v>181</v>
      </c>
      <c r="CK37" s="46" t="s">
        <v>182</v>
      </c>
      <c r="CL37" s="46" t="s">
        <v>183</v>
      </c>
      <c r="CM37" s="46" t="s">
        <v>184</v>
      </c>
      <c r="CN37" s="55"/>
      <c r="CO37" s="55"/>
      <c r="CQ37" s="15" t="s">
        <v>508</v>
      </c>
      <c r="CR37" s="15" t="s">
        <v>509</v>
      </c>
    </row>
    <row r="38" spans="11:96" ht="17.25" customHeight="1" x14ac:dyDescent="0.25">
      <c r="K38" s="2" t="s">
        <v>395</v>
      </c>
      <c r="L38" s="38">
        <v>34000</v>
      </c>
      <c r="M38" s="38">
        <v>237.20930232558138</v>
      </c>
      <c r="N38" s="39" t="s">
        <v>510</v>
      </c>
      <c r="BB38" s="43">
        <f t="shared" si="2"/>
        <v>0</v>
      </c>
      <c r="BC38" s="43" t="str">
        <f>IF(([1]Dotazník!$L$10=ZDROJE!BM38)*AND([1]Dotazník!$AB$20=ZDROJE!BK38)*AND([1]Dotazník!$AB$21=ZDROJE!BJ38),ZDROJE!BP38,"chyba")</f>
        <v>chyba</v>
      </c>
      <c r="BD38" s="43">
        <f t="shared" si="3"/>
        <v>0</v>
      </c>
      <c r="BE38" s="43" t="str">
        <f>IF(([1]Dotazník!$L$10=ZDROJE!BM38)*AND([1]Dotazník!$AB$20=ZDROJE!BK38)*AND([1]Dotazník!$AB$21=ZDROJE!BJ38),ZDROJE!CI38,"chyba")</f>
        <v>chyba</v>
      </c>
      <c r="BF38" s="45" t="s">
        <v>511</v>
      </c>
      <c r="BG38" s="46">
        <v>622</v>
      </c>
      <c r="BH38" s="46" t="s">
        <v>43</v>
      </c>
      <c r="BI38" s="46" t="s">
        <v>179</v>
      </c>
      <c r="BJ38" s="46" t="s">
        <v>148</v>
      </c>
      <c r="BK38" s="46" t="s">
        <v>217</v>
      </c>
      <c r="BL38" s="46" t="s">
        <v>359</v>
      </c>
      <c r="BM38" s="47" t="s">
        <v>358</v>
      </c>
      <c r="BN38" s="46" t="s">
        <v>360</v>
      </c>
      <c r="BO38" s="46" t="s">
        <v>132</v>
      </c>
      <c r="BP38" s="48" t="str">
        <f t="shared" si="4"/>
        <v>622 Rozvoj ESF PN NV KA4 DA4.0 REK</v>
      </c>
      <c r="BQ38" s="49" t="s">
        <v>157</v>
      </c>
      <c r="BR38" s="49" t="s">
        <v>266</v>
      </c>
      <c r="BS38" s="49" t="s">
        <v>267</v>
      </c>
      <c r="BT38" s="49" t="s">
        <v>256</v>
      </c>
      <c r="BU38" s="49" t="s">
        <v>268</v>
      </c>
      <c r="BV38" s="49" t="s">
        <v>269</v>
      </c>
      <c r="BW38" s="49" t="s">
        <v>270</v>
      </c>
      <c r="BX38" s="49" t="s">
        <v>271</v>
      </c>
      <c r="BY38" s="49" t="s">
        <v>272</v>
      </c>
      <c r="BZ38" s="50">
        <v>1</v>
      </c>
      <c r="CA38" s="50">
        <v>1</v>
      </c>
      <c r="CB38" s="50">
        <v>1</v>
      </c>
      <c r="CC38" s="50">
        <v>1</v>
      </c>
      <c r="CD38" s="50">
        <v>1</v>
      </c>
      <c r="CE38" s="50">
        <v>1</v>
      </c>
      <c r="CF38" s="50">
        <v>1</v>
      </c>
      <c r="CG38" s="50">
        <v>1</v>
      </c>
      <c r="CH38" s="50">
        <v>1</v>
      </c>
      <c r="CI38" s="46" t="str">
        <f>VLOOKUP(BK38,[2]ZDROJ!$A$2:$C$20,2,0)</f>
        <v>102031</v>
      </c>
      <c r="CJ38" s="46" t="s">
        <v>181</v>
      </c>
      <c r="CK38" s="46" t="s">
        <v>182</v>
      </c>
      <c r="CL38" s="46" t="s">
        <v>183</v>
      </c>
      <c r="CM38" s="46" t="s">
        <v>184</v>
      </c>
      <c r="CN38" s="55"/>
      <c r="CO38" s="55"/>
      <c r="CQ38" s="15" t="s">
        <v>512</v>
      </c>
      <c r="CR38" s="15" t="s">
        <v>513</v>
      </c>
    </row>
    <row r="39" spans="11:96" ht="17.25" customHeight="1" x14ac:dyDescent="0.25">
      <c r="K39" s="2" t="s">
        <v>432</v>
      </c>
      <c r="L39" s="38">
        <v>29000</v>
      </c>
      <c r="M39" s="38">
        <v>202.32558139534882</v>
      </c>
      <c r="N39" s="39" t="s">
        <v>510</v>
      </c>
      <c r="BB39" s="43">
        <f t="shared" si="2"/>
        <v>0</v>
      </c>
      <c r="BC39" s="43" t="str">
        <f>IF(([1]Dotazník!$L$10=ZDROJE!BM39)*AND([1]Dotazník!$AB$20=ZDROJE!BK39)*AND([1]Dotazník!$AB$21=ZDROJE!BJ39),ZDROJE!BP39,"chyba")</f>
        <v>chyba</v>
      </c>
      <c r="BD39" s="43">
        <f t="shared" si="3"/>
        <v>0</v>
      </c>
      <c r="BE39" s="43" t="str">
        <f>IF(([1]Dotazník!$L$10=ZDROJE!BM39)*AND([1]Dotazník!$AB$20=ZDROJE!BK39)*AND([1]Dotazník!$AB$21=ZDROJE!BJ39),ZDROJE!CI39,"chyba")</f>
        <v>chyba</v>
      </c>
      <c r="BF39" s="45" t="s">
        <v>514</v>
      </c>
      <c r="BG39" s="46">
        <v>622</v>
      </c>
      <c r="BH39" s="46" t="s">
        <v>43</v>
      </c>
      <c r="BI39" s="46" t="s">
        <v>179</v>
      </c>
      <c r="BJ39" s="46" t="s">
        <v>196</v>
      </c>
      <c r="BK39" s="46" t="s">
        <v>180</v>
      </c>
      <c r="BL39" s="46" t="s">
        <v>359</v>
      </c>
      <c r="BM39" s="47" t="s">
        <v>358</v>
      </c>
      <c r="BN39" s="46" t="s">
        <v>360</v>
      </c>
      <c r="BO39" s="46" t="s">
        <v>132</v>
      </c>
      <c r="BP39" s="48" t="str">
        <f t="shared" si="4"/>
        <v>622 Rozvoj ESF PaN ZV KA4 DA4.0 REK</v>
      </c>
      <c r="BQ39" s="49" t="s">
        <v>157</v>
      </c>
      <c r="BR39" s="49" t="s">
        <v>266</v>
      </c>
      <c r="BS39" s="49" t="s">
        <v>267</v>
      </c>
      <c r="BT39" s="49" t="s">
        <v>256</v>
      </c>
      <c r="BU39" s="49" t="s">
        <v>268</v>
      </c>
      <c r="BV39" s="49" t="s">
        <v>269</v>
      </c>
      <c r="BW39" s="49" t="s">
        <v>270</v>
      </c>
      <c r="BX39" s="49" t="s">
        <v>271</v>
      </c>
      <c r="BY39" s="49" t="s">
        <v>272</v>
      </c>
      <c r="BZ39" s="50">
        <v>1</v>
      </c>
      <c r="CA39" s="50">
        <v>1</v>
      </c>
      <c r="CB39" s="50">
        <v>1</v>
      </c>
      <c r="CC39" s="50">
        <v>1</v>
      </c>
      <c r="CD39" s="50">
        <v>1</v>
      </c>
      <c r="CE39" s="50">
        <v>1</v>
      </c>
      <c r="CF39" s="50">
        <v>1</v>
      </c>
      <c r="CG39" s="50">
        <v>1</v>
      </c>
      <c r="CH39" s="50">
        <v>1</v>
      </c>
      <c r="CI39" s="46" t="str">
        <f>VLOOKUP(BK39,[2]ZDROJ!$A$2:$C$20,2,0)</f>
        <v>102020</v>
      </c>
      <c r="CJ39" s="54" t="s">
        <v>308</v>
      </c>
      <c r="CK39" s="54"/>
      <c r="CL39" s="46" t="s">
        <v>183</v>
      </c>
      <c r="CM39" s="46" t="s">
        <v>184</v>
      </c>
      <c r="CN39" s="55"/>
      <c r="CO39" s="55"/>
      <c r="CQ39" s="15" t="s">
        <v>515</v>
      </c>
      <c r="CR39" s="15" t="s">
        <v>516</v>
      </c>
    </row>
    <row r="40" spans="11:96" ht="17.25" customHeight="1" x14ac:dyDescent="0.25">
      <c r="K40" s="2" t="s">
        <v>517</v>
      </c>
      <c r="L40" s="38">
        <v>27000</v>
      </c>
      <c r="M40" s="38">
        <v>188.37209302325581</v>
      </c>
      <c r="N40" s="39" t="s">
        <v>518</v>
      </c>
      <c r="BB40" s="43">
        <f t="shared" si="2"/>
        <v>0</v>
      </c>
      <c r="BC40" s="43" t="str">
        <f>IF(([1]Dotazník!$L$10=ZDROJE!BM40)*AND([1]Dotazník!$AB$20=ZDROJE!BK40)*AND([1]Dotazník!$AB$21=ZDROJE!BJ40),ZDROJE!BP40,"chyba")</f>
        <v>chyba</v>
      </c>
      <c r="BD40" s="43">
        <f t="shared" si="3"/>
        <v>0</v>
      </c>
      <c r="BE40" s="43" t="str">
        <f>IF(([1]Dotazník!$L$10=ZDROJE!BM40)*AND([1]Dotazník!$AB$20=ZDROJE!BK40)*AND([1]Dotazník!$AB$21=ZDROJE!BJ40),ZDROJE!CI40,"chyba")</f>
        <v>chyba</v>
      </c>
      <c r="BF40" s="45" t="s">
        <v>519</v>
      </c>
      <c r="BG40" s="46">
        <v>622</v>
      </c>
      <c r="BH40" s="46" t="s">
        <v>43</v>
      </c>
      <c r="BI40" s="46" t="s">
        <v>179</v>
      </c>
      <c r="BJ40" s="46" t="s">
        <v>148</v>
      </c>
      <c r="BK40" s="46" t="s">
        <v>180</v>
      </c>
      <c r="BL40" s="46" t="s">
        <v>370</v>
      </c>
      <c r="BM40" s="47" t="s">
        <v>369</v>
      </c>
      <c r="BN40" s="46" t="s">
        <v>371</v>
      </c>
      <c r="BO40" s="46" t="s">
        <v>132</v>
      </c>
      <c r="BP40" s="48" t="str">
        <f t="shared" si="4"/>
        <v>622 Rozvoj ESF PN ZV KA5 DA5.0 REK</v>
      </c>
      <c r="BQ40" s="49" t="s">
        <v>157</v>
      </c>
      <c r="BR40" s="49" t="s">
        <v>266</v>
      </c>
      <c r="BS40" s="49" t="s">
        <v>267</v>
      </c>
      <c r="BT40" s="49" t="s">
        <v>256</v>
      </c>
      <c r="BU40" s="49" t="s">
        <v>268</v>
      </c>
      <c r="BV40" s="49" t="s">
        <v>269</v>
      </c>
      <c r="BW40" s="49" t="s">
        <v>270</v>
      </c>
      <c r="BX40" s="49" t="s">
        <v>271</v>
      </c>
      <c r="BY40" s="49" t="s">
        <v>272</v>
      </c>
      <c r="BZ40" s="50">
        <v>1</v>
      </c>
      <c r="CA40" s="50">
        <v>1</v>
      </c>
      <c r="CB40" s="50">
        <v>1</v>
      </c>
      <c r="CC40" s="50">
        <v>1</v>
      </c>
      <c r="CD40" s="50">
        <v>1</v>
      </c>
      <c r="CE40" s="50">
        <v>1</v>
      </c>
      <c r="CF40" s="50">
        <v>1</v>
      </c>
      <c r="CG40" s="50">
        <v>1</v>
      </c>
      <c r="CH40" s="50">
        <v>1</v>
      </c>
      <c r="CI40" s="46" t="str">
        <f>VLOOKUP(BK40,[2]ZDROJ!$A$2:$C$20,2,0)</f>
        <v>102020</v>
      </c>
      <c r="CJ40" s="46" t="s">
        <v>181</v>
      </c>
      <c r="CK40" s="46" t="s">
        <v>182</v>
      </c>
      <c r="CL40" s="46" t="s">
        <v>183</v>
      </c>
      <c r="CM40" s="46" t="s">
        <v>184</v>
      </c>
      <c r="CN40" s="55"/>
      <c r="CO40" s="55"/>
      <c r="CQ40" s="15" t="s">
        <v>520</v>
      </c>
      <c r="CR40" s="15" t="s">
        <v>521</v>
      </c>
    </row>
    <row r="41" spans="11:96" ht="17.25" customHeight="1" x14ac:dyDescent="0.25">
      <c r="K41" s="2" t="s">
        <v>522</v>
      </c>
      <c r="L41" s="38">
        <v>35000</v>
      </c>
      <c r="M41" s="38">
        <v>244.18604651162789</v>
      </c>
      <c r="N41" s="39" t="s">
        <v>523</v>
      </c>
      <c r="BB41" s="43">
        <f t="shared" si="2"/>
        <v>0</v>
      </c>
      <c r="BC41" s="43" t="str">
        <f>IF(([1]Dotazník!$L$10=ZDROJE!BM41)*AND([1]Dotazník!$AB$20=ZDROJE!BK41)*AND([1]Dotazník!$AB$21=ZDROJE!BJ41),ZDROJE!BP41,"chyba")</f>
        <v>chyba</v>
      </c>
      <c r="BD41" s="43">
        <f t="shared" si="3"/>
        <v>0</v>
      </c>
      <c r="BE41" s="43" t="str">
        <f>IF(([1]Dotazník!$L$10=ZDROJE!BM41)*AND([1]Dotazník!$AB$20=ZDROJE!BK41)*AND([1]Dotazník!$AB$21=ZDROJE!BJ41),ZDROJE!CI41,"chyba")</f>
        <v>chyba</v>
      </c>
      <c r="BF41" s="45" t="s">
        <v>524</v>
      </c>
      <c r="BG41" s="46">
        <v>622</v>
      </c>
      <c r="BH41" s="46" t="s">
        <v>43</v>
      </c>
      <c r="BI41" s="46" t="s">
        <v>179</v>
      </c>
      <c r="BJ41" s="46" t="s">
        <v>148</v>
      </c>
      <c r="BK41" s="46" t="s">
        <v>217</v>
      </c>
      <c r="BL41" s="46" t="s">
        <v>370</v>
      </c>
      <c r="BM41" s="47" t="s">
        <v>369</v>
      </c>
      <c r="BN41" s="46" t="s">
        <v>371</v>
      </c>
      <c r="BO41" s="46" t="s">
        <v>132</v>
      </c>
      <c r="BP41" s="48" t="str">
        <f t="shared" si="4"/>
        <v>622 Rozvoj ESF PN NV KA5 DA5.0 REK</v>
      </c>
      <c r="BQ41" s="49" t="s">
        <v>157</v>
      </c>
      <c r="BR41" s="49" t="s">
        <v>266</v>
      </c>
      <c r="BS41" s="49" t="s">
        <v>267</v>
      </c>
      <c r="BT41" s="49" t="s">
        <v>256</v>
      </c>
      <c r="BU41" s="49" t="s">
        <v>268</v>
      </c>
      <c r="BV41" s="49" t="s">
        <v>269</v>
      </c>
      <c r="BW41" s="49" t="s">
        <v>270</v>
      </c>
      <c r="BX41" s="49" t="s">
        <v>271</v>
      </c>
      <c r="BY41" s="49" t="s">
        <v>272</v>
      </c>
      <c r="BZ41" s="50">
        <v>1</v>
      </c>
      <c r="CA41" s="50">
        <v>1</v>
      </c>
      <c r="CB41" s="50">
        <v>1</v>
      </c>
      <c r="CC41" s="50">
        <v>1</v>
      </c>
      <c r="CD41" s="50">
        <v>1</v>
      </c>
      <c r="CE41" s="50">
        <v>1</v>
      </c>
      <c r="CF41" s="50">
        <v>1</v>
      </c>
      <c r="CG41" s="50">
        <v>1</v>
      </c>
      <c r="CH41" s="50">
        <v>1</v>
      </c>
      <c r="CI41" s="46" t="str">
        <f>VLOOKUP(BK41,[2]ZDROJ!$A$2:$C$20,2,0)</f>
        <v>102031</v>
      </c>
      <c r="CJ41" s="46" t="s">
        <v>181</v>
      </c>
      <c r="CK41" s="46" t="s">
        <v>182</v>
      </c>
      <c r="CL41" s="46" t="s">
        <v>183</v>
      </c>
      <c r="CM41" s="46" t="s">
        <v>184</v>
      </c>
      <c r="CN41" s="55"/>
      <c r="CO41" s="55"/>
      <c r="CQ41" s="15" t="s">
        <v>525</v>
      </c>
      <c r="CR41" s="15" t="s">
        <v>526</v>
      </c>
    </row>
    <row r="42" spans="11:96" ht="17.25" customHeight="1" x14ac:dyDescent="0.25">
      <c r="K42" s="2" t="s">
        <v>427</v>
      </c>
      <c r="L42" s="38">
        <v>31000</v>
      </c>
      <c r="M42" s="38">
        <v>216.27906976744185</v>
      </c>
      <c r="N42" s="39" t="s">
        <v>527</v>
      </c>
      <c r="BB42" s="43">
        <f t="shared" si="2"/>
        <v>0</v>
      </c>
      <c r="BC42" s="43" t="str">
        <f>IF(([1]Dotazník!$L$10=ZDROJE!BM42)*AND([1]Dotazník!$AB$20=ZDROJE!BK42)*AND([1]Dotazník!$AB$21=ZDROJE!BJ42),ZDROJE!BP42,"chyba")</f>
        <v>chyba</v>
      </c>
      <c r="BD42" s="43">
        <f t="shared" si="3"/>
        <v>0</v>
      </c>
      <c r="BE42" s="43" t="str">
        <f>IF(([1]Dotazník!$L$10=ZDROJE!BM42)*AND([1]Dotazník!$AB$20=ZDROJE!BK42)*AND([1]Dotazník!$AB$21=ZDROJE!BJ42),ZDROJE!CI42,"chyba")</f>
        <v>chyba</v>
      </c>
      <c r="BF42" s="45" t="s">
        <v>528</v>
      </c>
      <c r="BG42" s="46">
        <v>622</v>
      </c>
      <c r="BH42" s="46" t="s">
        <v>43</v>
      </c>
      <c r="BI42" s="46" t="s">
        <v>179</v>
      </c>
      <c r="BJ42" s="46" t="s">
        <v>196</v>
      </c>
      <c r="BK42" s="46" t="s">
        <v>180</v>
      </c>
      <c r="BL42" s="46" t="s">
        <v>370</v>
      </c>
      <c r="BM42" s="47" t="s">
        <v>369</v>
      </c>
      <c r="BN42" s="46" t="s">
        <v>371</v>
      </c>
      <c r="BO42" s="46" t="s">
        <v>132</v>
      </c>
      <c r="BP42" s="48" t="str">
        <f t="shared" si="4"/>
        <v>622 Rozvoj ESF PaN ZV KA5 DA5.0 REK</v>
      </c>
      <c r="BQ42" s="49" t="s">
        <v>157</v>
      </c>
      <c r="BR42" s="49" t="s">
        <v>266</v>
      </c>
      <c r="BS42" s="49" t="s">
        <v>267</v>
      </c>
      <c r="BT42" s="49" t="s">
        <v>256</v>
      </c>
      <c r="BU42" s="49" t="s">
        <v>268</v>
      </c>
      <c r="BV42" s="49" t="s">
        <v>269</v>
      </c>
      <c r="BW42" s="49" t="s">
        <v>270</v>
      </c>
      <c r="BX42" s="49" t="s">
        <v>271</v>
      </c>
      <c r="BY42" s="49" t="s">
        <v>272</v>
      </c>
      <c r="BZ42" s="50">
        <v>1</v>
      </c>
      <c r="CA42" s="50">
        <v>1</v>
      </c>
      <c r="CB42" s="50">
        <v>1</v>
      </c>
      <c r="CC42" s="50">
        <v>1</v>
      </c>
      <c r="CD42" s="50">
        <v>1</v>
      </c>
      <c r="CE42" s="50">
        <v>1</v>
      </c>
      <c r="CF42" s="50">
        <v>1</v>
      </c>
      <c r="CG42" s="50">
        <v>1</v>
      </c>
      <c r="CH42" s="50">
        <v>1</v>
      </c>
      <c r="CI42" s="46" t="str">
        <f>VLOOKUP(BK42,[2]ZDROJ!$A$2:$C$20,2,0)</f>
        <v>102020</v>
      </c>
      <c r="CJ42" s="54" t="s">
        <v>445</v>
      </c>
      <c r="CK42" s="54"/>
      <c r="CL42" s="46" t="s">
        <v>183</v>
      </c>
      <c r="CM42" s="46" t="s">
        <v>184</v>
      </c>
      <c r="CN42" s="55"/>
      <c r="CO42" s="55"/>
      <c r="CQ42" s="15" t="s">
        <v>529</v>
      </c>
      <c r="CR42" s="15" t="s">
        <v>530</v>
      </c>
    </row>
    <row r="43" spans="11:96" ht="17.25" customHeight="1" x14ac:dyDescent="0.25">
      <c r="K43" s="2" t="s">
        <v>442</v>
      </c>
      <c r="L43" s="38">
        <v>30000</v>
      </c>
      <c r="M43" s="38">
        <v>209.30232558139534</v>
      </c>
      <c r="N43" s="39" t="s">
        <v>531</v>
      </c>
      <c r="BB43" s="43">
        <f t="shared" si="2"/>
        <v>0</v>
      </c>
      <c r="BC43" s="43" t="str">
        <f>IF(([1]Dotazník!$L$10=ZDROJE!BM43)*AND([1]Dotazník!$AB$20=ZDROJE!BK43)*AND([1]Dotazník!$AB$21=ZDROJE!BJ43),ZDROJE!BP43,"chyba")</f>
        <v>chyba</v>
      </c>
      <c r="BD43" s="43">
        <f t="shared" si="3"/>
        <v>0</v>
      </c>
      <c r="BE43" s="43" t="str">
        <f>IF(([1]Dotazník!$L$10=ZDROJE!BM43)*AND([1]Dotazník!$AB$20=ZDROJE!BK43)*AND([1]Dotazník!$AB$21=ZDROJE!BJ43),ZDROJE!CI43,"chyba")</f>
        <v>chyba</v>
      </c>
      <c r="BF43" s="45" t="s">
        <v>532</v>
      </c>
      <c r="BG43" s="46">
        <v>622</v>
      </c>
      <c r="BH43" s="46" t="s">
        <v>43</v>
      </c>
      <c r="BI43" s="46" t="s">
        <v>179</v>
      </c>
      <c r="BJ43" s="46" t="s">
        <v>148</v>
      </c>
      <c r="BK43" s="46" t="s">
        <v>180</v>
      </c>
      <c r="BL43" s="46" t="s">
        <v>381</v>
      </c>
      <c r="BM43" s="47" t="s">
        <v>380</v>
      </c>
      <c r="BN43" s="46" t="s">
        <v>382</v>
      </c>
      <c r="BO43" s="46" t="s">
        <v>132</v>
      </c>
      <c r="BP43" s="48" t="str">
        <f t="shared" si="4"/>
        <v>622 Rozvoj ESF PN ZV KA6 DA6.0 REK</v>
      </c>
      <c r="BQ43" s="49" t="s">
        <v>157</v>
      </c>
      <c r="BR43" s="49" t="s">
        <v>266</v>
      </c>
      <c r="BS43" s="49" t="s">
        <v>267</v>
      </c>
      <c r="BT43" s="49" t="s">
        <v>256</v>
      </c>
      <c r="BU43" s="49"/>
      <c r="BV43" s="49" t="s">
        <v>269</v>
      </c>
      <c r="BW43" s="49" t="s">
        <v>270</v>
      </c>
      <c r="BX43" s="49" t="s">
        <v>271</v>
      </c>
      <c r="BY43" s="49" t="s">
        <v>272</v>
      </c>
      <c r="BZ43" s="50">
        <v>1</v>
      </c>
      <c r="CA43" s="50">
        <v>1</v>
      </c>
      <c r="CB43" s="50">
        <v>1</v>
      </c>
      <c r="CC43" s="50">
        <v>1</v>
      </c>
      <c r="CD43" s="50"/>
      <c r="CE43" s="50">
        <v>1</v>
      </c>
      <c r="CF43" s="50">
        <v>1</v>
      </c>
      <c r="CG43" s="50">
        <v>1</v>
      </c>
      <c r="CH43" s="50">
        <v>1</v>
      </c>
      <c r="CI43" s="46" t="str">
        <f>VLOOKUP(BK43,[2]ZDROJ!$A$2:$C$20,2,0)</f>
        <v>102020</v>
      </c>
      <c r="CJ43" s="46" t="s">
        <v>181</v>
      </c>
      <c r="CK43" s="46" t="s">
        <v>182</v>
      </c>
      <c r="CL43" s="46" t="s">
        <v>183</v>
      </c>
      <c r="CM43" s="46" t="s">
        <v>184</v>
      </c>
      <c r="CN43" s="55"/>
      <c r="CO43" s="55"/>
      <c r="CQ43" s="15" t="s">
        <v>533</v>
      </c>
      <c r="CR43" s="15" t="s">
        <v>534</v>
      </c>
    </row>
    <row r="44" spans="11:96" ht="17.25" customHeight="1" x14ac:dyDescent="0.25">
      <c r="K44" s="65" t="s">
        <v>164</v>
      </c>
      <c r="L44" s="66">
        <f>L26</f>
        <v>66000</v>
      </c>
      <c r="M44" s="66">
        <f t="shared" ref="M44:N44" si="6">M26</f>
        <v>460.46511627906972</v>
      </c>
      <c r="N44" s="65" t="str">
        <f t="shared" si="6"/>
        <v xml:space="preserve">Je hlavní výkonná pozice při realizaci projektu, je plně odpovědný za realizaci aktivit projektu sponzorovi/donátorovi projektu, resp. monitorovacímu výboru projektu.
Odpovídá především za včasné plnění cílů, harmonogramu projektu a rozpočtu projektu. Ve spolupráci s ostatními členy odborného i realizačního týmu provádí rozhodnutí, která mají vliv na úspěšnou realizaci projektu.
Má jasně deklarovanou pravomoc řídit projekt na dennodenní výkonné bázi. Je oprávněn rozhodovat samostatně v rámci platných smluvních vztahů, rozhodnutí překračující stanovený smluvní rámec je povinen eskalovat na úroveň monitorovacího výboru projektu či vedení univerzity. Toleranční meze projektu budou stanoveny při zahájení projektu monitorovacím výborem v závislosti na typu a rozsahu projektu.
Do jeho náplně a odpovědnosti patří především:
• řízení a koordinace projektu jako celku;
• plánování projektu (krátkodobé, střednědobé, dlouhodobé);
• řízení realizace projektu v čase, rozsahu a kvalitě tak, aby byly naplněny definované cíle projektu (řízení a koordinace dílčích aktivit projektu po stránce obsahové i časové);
• identifikace a řízení rizik projektu, příp. realizace preventivních a nápravných opatření;
• řízení (úkolování) členů týmů;
• definování specifické náplně práce členů realizačního a v případě absence Odborného řešitele – Garanta aktivity i odborného týmu;
• zabezpečení informovanosti v rámci projektu;
• zabezpečení součinnosti a synchronizace vzájemně závislých aktivit týmů projektu; 
• monitoring / kontrola projektu;
• koordinace činností případných dodavatelů a zástupců třetích stran zapojovaných do projektu;
• kontrola podkladů od případného dodavatele z hlediska věcné správnosti;
• předkládání a projednávání požadavků na změnu projektu se všemi zainteresovanými stranami;
• rozhodování o nepodstatných změnách projektu definovaných tolerancemi; 
• autorizace formálních dokumentů projektu (např. zápisy z jednání, předávací protokoly, faktury apod.);
• sledování a vyhodnocování kvality výstupů vytvářené odborným týmem,
• dohled nad obsahovým řízením projektu, příp. administrativním řízením projektu v rámci definovaného rozpočtu pokud není přítomen administrativní ředitel;
• reporting – spolupráce na přípravě a koordinace přípravy potřebných podkladů pro příslušnou monitorovací úroveň v a předkládání těchto dokumentů v požadované kvalitě a čase příslušným pracovníkům;
• řízení procedur řešení problémů a rozhodování případných sporů (v souladu s jednotně stanovenými postupy), které nevyžadují rozhodnutí monitorovacího výboru;
• eskalace nevyřešených problémů na vyšší úroveň řízení – monitorovací výbor projektu.
</v>
      </c>
      <c r="BB44" s="43">
        <f t="shared" si="2"/>
        <v>0</v>
      </c>
      <c r="BC44" s="43" t="str">
        <f>IF(([1]Dotazník!$L$10=ZDROJE!BM44)*AND([1]Dotazník!$AB$20=ZDROJE!BK44)*AND([1]Dotazník!$AB$21=ZDROJE!BJ44),ZDROJE!BP44,"chyba")</f>
        <v>chyba</v>
      </c>
      <c r="BD44" s="43">
        <f t="shared" si="3"/>
        <v>0</v>
      </c>
      <c r="BE44" s="43" t="str">
        <f>IF(([1]Dotazník!$L$10=ZDROJE!BM44)*AND([1]Dotazník!$AB$20=ZDROJE!BK44)*AND([1]Dotazník!$AB$21=ZDROJE!BJ44),ZDROJE!CI44,"chyba")</f>
        <v>chyba</v>
      </c>
      <c r="BF44" s="45" t="s">
        <v>535</v>
      </c>
      <c r="BG44" s="46">
        <v>622</v>
      </c>
      <c r="BH44" s="46" t="s">
        <v>43</v>
      </c>
      <c r="BI44" s="46" t="s">
        <v>179</v>
      </c>
      <c r="BJ44" s="46" t="s">
        <v>148</v>
      </c>
      <c r="BK44" s="46" t="s">
        <v>217</v>
      </c>
      <c r="BL44" s="46" t="s">
        <v>381</v>
      </c>
      <c r="BM44" s="47" t="s">
        <v>380</v>
      </c>
      <c r="BN44" s="46" t="s">
        <v>382</v>
      </c>
      <c r="BO44" s="46" t="s">
        <v>132</v>
      </c>
      <c r="BP44" s="48" t="str">
        <f t="shared" si="4"/>
        <v>622 Rozvoj ESF PN NV KA6 DA6.0 REK</v>
      </c>
      <c r="BQ44" s="49" t="s">
        <v>157</v>
      </c>
      <c r="BR44" s="49" t="s">
        <v>266</v>
      </c>
      <c r="BS44" s="49" t="s">
        <v>267</v>
      </c>
      <c r="BT44" s="49" t="s">
        <v>256</v>
      </c>
      <c r="BU44" s="49"/>
      <c r="BV44" s="49" t="s">
        <v>269</v>
      </c>
      <c r="BW44" s="49" t="s">
        <v>270</v>
      </c>
      <c r="BX44" s="49" t="s">
        <v>271</v>
      </c>
      <c r="BY44" s="49" t="s">
        <v>272</v>
      </c>
      <c r="BZ44" s="50">
        <v>1</v>
      </c>
      <c r="CA44" s="50">
        <v>1</v>
      </c>
      <c r="CB44" s="50">
        <v>1</v>
      </c>
      <c r="CC44" s="50">
        <v>1</v>
      </c>
      <c r="CD44" s="50"/>
      <c r="CE44" s="50">
        <v>1</v>
      </c>
      <c r="CF44" s="50">
        <v>1</v>
      </c>
      <c r="CG44" s="50">
        <v>1</v>
      </c>
      <c r="CH44" s="50">
        <v>1</v>
      </c>
      <c r="CI44" s="46" t="str">
        <f>VLOOKUP(BK44,[2]ZDROJ!$A$2:$C$20,2,0)</f>
        <v>102031</v>
      </c>
      <c r="CJ44" s="46" t="s">
        <v>181</v>
      </c>
      <c r="CK44" s="46" t="s">
        <v>182</v>
      </c>
      <c r="CL44" s="46" t="s">
        <v>183</v>
      </c>
      <c r="CM44" s="46" t="s">
        <v>184</v>
      </c>
      <c r="CN44" s="55"/>
      <c r="CO44" s="55"/>
      <c r="CQ44" s="15" t="s">
        <v>536</v>
      </c>
      <c r="CR44" s="15" t="s">
        <v>537</v>
      </c>
    </row>
    <row r="45" spans="11:96" ht="17.25" customHeight="1" x14ac:dyDescent="0.25">
      <c r="K45" s="65" t="s">
        <v>210</v>
      </c>
      <c r="L45" s="66">
        <f>L29</f>
        <v>35000</v>
      </c>
      <c r="M45" s="66">
        <f t="shared" ref="M45:N45" si="7">M29</f>
        <v>244.18604651162789</v>
      </c>
      <c r="N45" s="65" t="str">
        <f t="shared" si="7"/>
        <v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v>
      </c>
      <c r="BB45" s="43">
        <f t="shared" si="2"/>
        <v>0</v>
      </c>
      <c r="BC45" s="43" t="str">
        <f>IF(([1]Dotazník!$L$10=ZDROJE!BM45)*AND([1]Dotazník!$AB$20=ZDROJE!BK45)*AND([1]Dotazník!$AB$21=ZDROJE!BJ45),ZDROJE!BP45,"chyba")</f>
        <v>chyba</v>
      </c>
      <c r="BD45" s="43">
        <f t="shared" si="3"/>
        <v>0</v>
      </c>
      <c r="BE45" s="43" t="str">
        <f>IF(([1]Dotazník!$L$10=ZDROJE!BM45)*AND([1]Dotazník!$AB$20=ZDROJE!BK45)*AND([1]Dotazník!$AB$21=ZDROJE!BJ45),ZDROJE!CI45,"chyba")</f>
        <v>chyba</v>
      </c>
      <c r="BF45" s="45" t="s">
        <v>538</v>
      </c>
      <c r="BG45" s="46">
        <v>622</v>
      </c>
      <c r="BH45" s="46" t="s">
        <v>43</v>
      </c>
      <c r="BI45" s="46" t="s">
        <v>179</v>
      </c>
      <c r="BJ45" s="46" t="s">
        <v>196</v>
      </c>
      <c r="BK45" s="46" t="s">
        <v>180</v>
      </c>
      <c r="BL45" s="46" t="s">
        <v>381</v>
      </c>
      <c r="BM45" s="47" t="s">
        <v>380</v>
      </c>
      <c r="BN45" s="46" t="s">
        <v>382</v>
      </c>
      <c r="BO45" s="46" t="s">
        <v>132</v>
      </c>
      <c r="BP45" s="48" t="str">
        <f t="shared" si="4"/>
        <v>622 Rozvoj ESF PaN ZV KA6 DA6.0 REK</v>
      </c>
      <c r="BQ45" s="49" t="s">
        <v>157</v>
      </c>
      <c r="BR45" s="49" t="s">
        <v>266</v>
      </c>
      <c r="BS45" s="49" t="s">
        <v>267</v>
      </c>
      <c r="BT45" s="49" t="s">
        <v>256</v>
      </c>
      <c r="BU45" s="49"/>
      <c r="BV45" s="49" t="s">
        <v>269</v>
      </c>
      <c r="BW45" s="49" t="s">
        <v>270</v>
      </c>
      <c r="BX45" s="49" t="s">
        <v>271</v>
      </c>
      <c r="BY45" s="49" t="s">
        <v>272</v>
      </c>
      <c r="BZ45" s="50">
        <v>1</v>
      </c>
      <c r="CA45" s="50">
        <v>1</v>
      </c>
      <c r="CB45" s="50">
        <v>1</v>
      </c>
      <c r="CC45" s="50">
        <v>1</v>
      </c>
      <c r="CD45" s="50"/>
      <c r="CE45" s="50">
        <v>1</v>
      </c>
      <c r="CF45" s="50">
        <v>1</v>
      </c>
      <c r="CG45" s="50">
        <v>1</v>
      </c>
      <c r="CH45" s="50">
        <v>1</v>
      </c>
      <c r="CI45" s="46" t="str">
        <f>VLOOKUP(BK45,[2]ZDROJ!$A$2:$C$20,2,0)</f>
        <v>102020</v>
      </c>
      <c r="CJ45" s="46" t="s">
        <v>181</v>
      </c>
      <c r="CK45" s="46" t="s">
        <v>182</v>
      </c>
      <c r="CL45" s="46" t="s">
        <v>183</v>
      </c>
      <c r="CM45" s="46" t="s">
        <v>184</v>
      </c>
      <c r="CN45" s="55"/>
      <c r="CO45" s="55"/>
      <c r="CQ45" s="15" t="s">
        <v>539</v>
      </c>
      <c r="CR45" s="15" t="s">
        <v>540</v>
      </c>
    </row>
    <row r="46" spans="11:96" ht="17.25" customHeight="1" x14ac:dyDescent="0.25">
      <c r="K46" s="65" t="s">
        <v>236</v>
      </c>
      <c r="L46" s="66">
        <f>L45</f>
        <v>35000</v>
      </c>
      <c r="M46" s="66">
        <f t="shared" ref="M46:N46" si="8">M45</f>
        <v>244.18604651162789</v>
      </c>
      <c r="N46" s="65" t="str">
        <f t="shared" si="8"/>
        <v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v>
      </c>
      <c r="BB46" s="43">
        <f t="shared" si="2"/>
        <v>0</v>
      </c>
      <c r="BC46" s="43" t="str">
        <f>IF(([1]Dotazník!$L$10=ZDROJE!BM46)*AND([1]Dotazník!$AB$20=ZDROJE!BK46)*AND([1]Dotazník!$AB$21=ZDROJE!BJ46),ZDROJE!BP46,"chyba")</f>
        <v>chyba</v>
      </c>
      <c r="BD46" s="43">
        <f t="shared" si="3"/>
        <v>0</v>
      </c>
      <c r="BE46" s="43" t="str">
        <f>IF(([1]Dotazník!$L$10=ZDROJE!BM46)*AND([1]Dotazník!$AB$20=ZDROJE!BK46)*AND([1]Dotazník!$AB$21=ZDROJE!BJ46),ZDROJE!CI46,"chyba")</f>
        <v>chyba</v>
      </c>
      <c r="BF46" s="45" t="s">
        <v>541</v>
      </c>
      <c r="BG46" s="46">
        <v>622</v>
      </c>
      <c r="BH46" s="46" t="s">
        <v>43</v>
      </c>
      <c r="BI46" s="46" t="s">
        <v>179</v>
      </c>
      <c r="BJ46" s="46" t="s">
        <v>542</v>
      </c>
      <c r="BK46" s="46"/>
      <c r="BL46" s="46"/>
      <c r="BM46" s="47"/>
      <c r="BN46" s="46"/>
      <c r="BO46" s="46" t="s">
        <v>124</v>
      </c>
      <c r="BP46" s="48" t="str">
        <f t="shared" si="4"/>
        <v>622 Rozvoj ESF Kof    EF</v>
      </c>
      <c r="BQ46" s="49"/>
      <c r="BR46" s="49" t="s">
        <v>266</v>
      </c>
      <c r="BS46" s="49"/>
      <c r="BT46" s="49"/>
      <c r="BU46" s="49"/>
      <c r="BV46" s="49"/>
      <c r="BW46" s="49"/>
      <c r="BX46" s="49"/>
      <c r="BY46" s="49"/>
      <c r="BZ46" s="50"/>
      <c r="CA46" s="50" t="s">
        <v>178</v>
      </c>
      <c r="CB46" s="50"/>
      <c r="CC46" s="50"/>
      <c r="CD46" s="50"/>
      <c r="CE46" s="50"/>
      <c r="CF46" s="50"/>
      <c r="CG46" s="50"/>
      <c r="CH46" s="50"/>
      <c r="CI46" s="67"/>
      <c r="CJ46" s="67"/>
      <c r="CK46" s="67"/>
      <c r="CL46" s="67"/>
      <c r="CM46" s="67"/>
      <c r="CN46" s="55"/>
      <c r="CO46" s="55"/>
      <c r="CQ46" s="15" t="s">
        <v>543</v>
      </c>
      <c r="CR46" s="15" t="s">
        <v>544</v>
      </c>
    </row>
    <row r="47" spans="11:96" ht="17.25" customHeight="1" x14ac:dyDescent="0.25">
      <c r="K47" s="65" t="s">
        <v>259</v>
      </c>
      <c r="L47" s="66">
        <f>L32</f>
        <v>28000</v>
      </c>
      <c r="M47" s="66">
        <f t="shared" ref="M47:N48" si="9">M32</f>
        <v>195.3488372093023</v>
      </c>
      <c r="N47" s="65" t="str">
        <f t="shared" si="9"/>
        <v xml:space="preserve">K jeho základním povinnostem patří:
• samostatné zajišťování investičních agend;
• poradenství v oblasti jeho působnosti, školící práce v oblasti jeho působnosti;
• příprava a realizace jednotlivých investic menšího rozsahu nebo části velkých investic;
• shromažďování a vyhodnocování požadavků na výstavbu, zpracování zadávacích listů; 
• zpracování návrhů investičních plánů, výběrových řízení investičních akcí po věcné stránce; 
• koordinace účastníků investičních akcí;
• případně provádění stavebního dozoru, příprava a zajišťování dokumentace pro stavební povolení apod.
• úzká spolupráce s Projektovým a finančním manažerem projektu, kterému je povinen řádně a včas zajistit potřebné podklady pro monitorování projektu ve vztahu k poskytovateli dotace.
</v>
      </c>
      <c r="BB47" s="43">
        <f t="shared" si="2"/>
        <v>0</v>
      </c>
      <c r="BC47" s="43" t="str">
        <f>IF(([1]Dotazník!$L$10=ZDROJE!BM47)*AND([1]Dotazník!$AB$20=ZDROJE!BK47)*AND([1]Dotazník!$AB$21=ZDROJE!BJ47),ZDROJE!BP47,"chyba")</f>
        <v>chyba</v>
      </c>
      <c r="BD47" s="43">
        <f t="shared" si="3"/>
        <v>0</v>
      </c>
      <c r="BE47" s="43" t="str">
        <f>IF(([1]Dotazník!$L$10=ZDROJE!BM47)*AND([1]Dotazník!$AB$20=ZDROJE!BK47)*AND([1]Dotazník!$AB$21=ZDROJE!BJ47),ZDROJE!CI47,"chyba")</f>
        <v>chyba</v>
      </c>
      <c r="BF47" s="45" t="s">
        <v>545</v>
      </c>
      <c r="BG47" s="46">
        <v>622</v>
      </c>
      <c r="BH47" s="46" t="s">
        <v>43</v>
      </c>
      <c r="BI47" s="46" t="s">
        <v>179</v>
      </c>
      <c r="BJ47" s="46" t="s">
        <v>542</v>
      </c>
      <c r="BK47" s="46"/>
      <c r="BL47" s="46"/>
      <c r="BM47" s="47"/>
      <c r="BN47" s="46"/>
      <c r="BO47" s="46" t="s">
        <v>125</v>
      </c>
      <c r="BP47" s="48" t="str">
        <f t="shared" si="4"/>
        <v>622 Rozvoj ESF Kof    FF</v>
      </c>
      <c r="BQ47" s="49"/>
      <c r="BR47" s="49"/>
      <c r="BS47" s="49" t="s">
        <v>267</v>
      </c>
      <c r="BT47" s="49"/>
      <c r="BU47" s="49"/>
      <c r="BV47" s="49"/>
      <c r="BW47" s="49"/>
      <c r="BX47" s="49"/>
      <c r="BY47" s="49"/>
      <c r="BZ47" s="50"/>
      <c r="CA47" s="50"/>
      <c r="CB47" s="50" t="s">
        <v>178</v>
      </c>
      <c r="CC47" s="50"/>
      <c r="CD47" s="50"/>
      <c r="CE47" s="50"/>
      <c r="CF47" s="50"/>
      <c r="CG47" s="50"/>
      <c r="CH47" s="50"/>
      <c r="CI47" s="67"/>
      <c r="CJ47" s="67"/>
      <c r="CK47" s="67"/>
      <c r="CL47" s="67"/>
      <c r="CM47" s="67"/>
      <c r="CN47" s="55"/>
      <c r="CO47" s="55"/>
      <c r="CQ47" s="15" t="s">
        <v>546</v>
      </c>
      <c r="CR47" s="15" t="s">
        <v>547</v>
      </c>
    </row>
    <row r="48" spans="11:96" ht="17.25" customHeight="1" x14ac:dyDescent="0.25">
      <c r="K48" s="65" t="s">
        <v>284</v>
      </c>
      <c r="L48" s="66">
        <f>L33</f>
        <v>28000</v>
      </c>
      <c r="M48" s="66">
        <f t="shared" si="9"/>
        <v>195.3488372093023</v>
      </c>
      <c r="N48" s="65" t="str">
        <f t="shared" si="9"/>
        <v xml:space="preserve">K jeho základním povinnostem patří:
• zajištění realizace výběrového řízení, pokud je pro projekt vyžadována dodávka externím dodavatelem;
• plánování a koordinace včasné přípravy obsahu plánovaných veřejných zakázek projektu;
• zabezpečení realizační stránky plánovaných veřejných zakázek projektu.
• úzká spolupráce s Projektovým a finančním manažerem projektu, kterému je povinen řádně a včas zajistit potřebné podklady pro monitorování projektu ve vztahu k poskytovateli dotace.
</v>
      </c>
      <c r="BB48" s="43">
        <f t="shared" si="2"/>
        <v>0</v>
      </c>
      <c r="BC48" s="43" t="str">
        <f>IF(([1]Dotazník!$L$10=ZDROJE!BM48)*AND([1]Dotazník!$AB$20=ZDROJE!BK48)*AND([1]Dotazník!$AB$21=ZDROJE!BJ48),ZDROJE!BP48,"chyba")</f>
        <v>chyba</v>
      </c>
      <c r="BD48" s="43">
        <f t="shared" si="3"/>
        <v>0</v>
      </c>
      <c r="BE48" s="43" t="str">
        <f>IF(([1]Dotazník!$L$10=ZDROJE!BM48)*AND([1]Dotazník!$AB$20=ZDROJE!BK48)*AND([1]Dotazník!$AB$21=ZDROJE!BJ48),ZDROJE!CI48,"chyba")</f>
        <v>chyba</v>
      </c>
      <c r="BF48" s="45" t="s">
        <v>548</v>
      </c>
      <c r="BG48" s="46">
        <v>622</v>
      </c>
      <c r="BH48" s="46" t="s">
        <v>43</v>
      </c>
      <c r="BI48" s="46" t="s">
        <v>179</v>
      </c>
      <c r="BJ48" s="46" t="s">
        <v>542</v>
      </c>
      <c r="BK48" s="46"/>
      <c r="BL48" s="46"/>
      <c r="BM48" s="47"/>
      <c r="BN48" s="46"/>
      <c r="BO48" s="46" t="s">
        <v>126</v>
      </c>
      <c r="BP48" s="48" t="str">
        <f t="shared" si="4"/>
        <v>622 Rozvoj ESF Kof    PF</v>
      </c>
      <c r="BQ48" s="49"/>
      <c r="BR48" s="49"/>
      <c r="BS48" s="49"/>
      <c r="BT48" s="49" t="s">
        <v>256</v>
      </c>
      <c r="BU48" s="49"/>
      <c r="BV48" s="49"/>
      <c r="BW48" s="49"/>
      <c r="BX48" s="49"/>
      <c r="BY48" s="49"/>
      <c r="BZ48" s="50"/>
      <c r="CA48" s="50"/>
      <c r="CB48" s="50"/>
      <c r="CC48" s="50" t="s">
        <v>178</v>
      </c>
      <c r="CD48" s="50"/>
      <c r="CE48" s="50"/>
      <c r="CF48" s="50"/>
      <c r="CG48" s="50"/>
      <c r="CH48" s="50"/>
      <c r="CI48" s="67"/>
      <c r="CJ48" s="67"/>
      <c r="CK48" s="67"/>
      <c r="CL48" s="67"/>
      <c r="CM48" s="67"/>
      <c r="CN48" s="55"/>
      <c r="CO48" s="55"/>
      <c r="CQ48" s="15" t="s">
        <v>549</v>
      </c>
      <c r="CR48" s="15" t="s">
        <v>550</v>
      </c>
    </row>
    <row r="49" spans="11:96" ht="17.25" customHeight="1" x14ac:dyDescent="0.25">
      <c r="K49" s="65" t="s">
        <v>301</v>
      </c>
      <c r="L49" s="66">
        <f>L37</f>
        <v>23000</v>
      </c>
      <c r="M49" s="66">
        <f t="shared" ref="M49:N49" si="10">M37</f>
        <v>160.46511627906975</v>
      </c>
      <c r="N49" s="65" t="str">
        <f t="shared" si="10"/>
        <v xml:space="preserve">K základním povinnostem pozice patří:
• poskytování administrativní podpory odbornému/realizačnímu týmu. 
• vedení a správa dokumentace projektu vč. její archivace;
• distribuce jednotlivých verzí relevantních dokumentů projektu;
• kontrola plnění plánovaných i operativních administrativních úkonů vyplývajících z harmonogramu projektu a ze zápisů z porad;
• organizace porad podle projektového plánu a členů týmů;
• druhotná kontrola dodržování postupů práce s formalizovanými dokumenty a správné užívání všech formulářů a standardů;
úzká spolupráce s Projektovým a finančním manažerem projektu, kterému je povinen řádně a včas zajistit potřebné podklady pro monitorování projektu ve vztahu k poskytovateli dotace.
</v>
      </c>
      <c r="BB49" s="43">
        <f t="shared" si="2"/>
        <v>0</v>
      </c>
      <c r="BC49" s="43" t="str">
        <f>IF(([1]Dotazník!$L$10=ZDROJE!BM49)*AND([1]Dotazník!$AB$20=ZDROJE!BK49)*AND([1]Dotazník!$AB$21=ZDROJE!BJ49),ZDROJE!BP49,"chyba")</f>
        <v>chyba</v>
      </c>
      <c r="BD49" s="43">
        <f t="shared" si="3"/>
        <v>0</v>
      </c>
      <c r="BE49" s="43" t="str">
        <f>IF(([1]Dotazník!$L$10=ZDROJE!BM49)*AND([1]Dotazník!$AB$20=ZDROJE!BK49)*AND([1]Dotazník!$AB$21=ZDROJE!BJ49),ZDROJE!CI49,"chyba")</f>
        <v>chyba</v>
      </c>
      <c r="BF49" s="45" t="s">
        <v>551</v>
      </c>
      <c r="BG49" s="46">
        <v>622</v>
      </c>
      <c r="BH49" s="46" t="s">
        <v>43</v>
      </c>
      <c r="BI49" s="46" t="s">
        <v>179</v>
      </c>
      <c r="BJ49" s="46" t="s">
        <v>542</v>
      </c>
      <c r="BK49" s="46"/>
      <c r="BL49" s="46"/>
      <c r="BM49" s="47"/>
      <c r="BN49" s="46"/>
      <c r="BO49" s="46" t="s">
        <v>127</v>
      </c>
      <c r="BP49" s="48" t="str">
        <f t="shared" si="4"/>
        <v>622 Rozvoj ESF Kof    PřF</v>
      </c>
      <c r="BQ49" s="49"/>
      <c r="BR49" s="49"/>
      <c r="BS49" s="49"/>
      <c r="BT49" s="49"/>
      <c r="BU49" s="49" t="s">
        <v>268</v>
      </c>
      <c r="BV49" s="49"/>
      <c r="BW49" s="49"/>
      <c r="BX49" s="49"/>
      <c r="BY49" s="49"/>
      <c r="BZ49" s="50"/>
      <c r="CA49" s="50"/>
      <c r="CB49" s="50"/>
      <c r="CC49" s="50"/>
      <c r="CD49" s="50" t="s">
        <v>178</v>
      </c>
      <c r="CE49" s="50"/>
      <c r="CF49" s="50"/>
      <c r="CG49" s="50"/>
      <c r="CH49" s="50"/>
      <c r="CI49" s="67"/>
      <c r="CJ49" s="67"/>
      <c r="CK49" s="67"/>
      <c r="CL49" s="67"/>
      <c r="CM49" s="67"/>
      <c r="CN49" s="55"/>
      <c r="CO49" s="55"/>
      <c r="CQ49" s="15" t="s">
        <v>552</v>
      </c>
      <c r="CR49" s="15" t="s">
        <v>553</v>
      </c>
    </row>
    <row r="50" spans="11:96" ht="17.25" customHeight="1" x14ac:dyDescent="0.25">
      <c r="K50" s="65" t="s">
        <v>321</v>
      </c>
      <c r="L50" s="66">
        <f>L35</f>
        <v>37000</v>
      </c>
      <c r="M50" s="66">
        <f t="shared" ref="M50:N50" si="11">M35</f>
        <v>258.1395348837209</v>
      </c>
      <c r="N50" s="65" t="str">
        <f t="shared" si="11"/>
        <v xml:space="preserve">K jeho základním povinnostem patří:
• komplexní zpracování prvotních dokladů projektu a provádění veškerých účetních operací v rámci účetní evidence projektu.
• úzká spolupráce s Projektovým a finančním manažerem projektu, kterému je povinen řádně a včas zajistit potřebné podklady pro monitorování projektu ve vztahu k poskytovateli dotace.
</v>
      </c>
      <c r="BB50" s="43">
        <f t="shared" si="2"/>
        <v>0</v>
      </c>
      <c r="BC50" s="43" t="str">
        <f>IF(([1]Dotazník!$L$10=ZDROJE!BM50)*AND([1]Dotazník!$AB$20=ZDROJE!BK50)*AND([1]Dotazník!$AB$21=ZDROJE!BJ50),ZDROJE!BP50,"chyba")</f>
        <v>chyba</v>
      </c>
      <c r="BD50" s="43">
        <f t="shared" si="3"/>
        <v>0</v>
      </c>
      <c r="BE50" s="43" t="str">
        <f>IF(([1]Dotazník!$L$10=ZDROJE!BM50)*AND([1]Dotazník!$AB$20=ZDROJE!BK50)*AND([1]Dotazník!$AB$21=ZDROJE!BJ50),ZDROJE!CI50,"chyba")</f>
        <v>chyba</v>
      </c>
      <c r="BF50" s="45" t="s">
        <v>554</v>
      </c>
      <c r="BG50" s="46">
        <v>622</v>
      </c>
      <c r="BH50" s="46" t="s">
        <v>43</v>
      </c>
      <c r="BI50" s="46" t="s">
        <v>179</v>
      </c>
      <c r="BJ50" s="46" t="s">
        <v>542</v>
      </c>
      <c r="BK50" s="46"/>
      <c r="BL50" s="46"/>
      <c r="BM50" s="47"/>
      <c r="BN50" s="46"/>
      <c r="BO50" s="46" t="s">
        <v>128</v>
      </c>
      <c r="BP50" s="48" t="str">
        <f t="shared" si="4"/>
        <v>622 Rozvoj ESF Kof    FROV</v>
      </c>
      <c r="BQ50" s="49"/>
      <c r="BR50" s="49"/>
      <c r="BS50" s="49"/>
      <c r="BT50" s="49"/>
      <c r="BU50" s="49"/>
      <c r="BV50" s="49" t="s">
        <v>269</v>
      </c>
      <c r="BW50" s="49"/>
      <c r="BX50" s="49"/>
      <c r="BY50" s="49"/>
      <c r="BZ50" s="50"/>
      <c r="CA50" s="50"/>
      <c r="CB50" s="50"/>
      <c r="CC50" s="50"/>
      <c r="CD50" s="50"/>
      <c r="CE50" s="50" t="s">
        <v>178</v>
      </c>
      <c r="CF50" s="50"/>
      <c r="CG50" s="50"/>
      <c r="CH50" s="50"/>
      <c r="CI50" s="67"/>
      <c r="CJ50" s="67"/>
      <c r="CK50" s="67"/>
      <c r="CL50" s="67"/>
      <c r="CM50" s="67"/>
      <c r="CN50" s="55"/>
      <c r="CO50" s="55"/>
      <c r="CQ50" s="15" t="s">
        <v>555</v>
      </c>
      <c r="CR50" s="15" t="s">
        <v>556</v>
      </c>
    </row>
    <row r="51" spans="11:96" ht="17.25" customHeight="1" x14ac:dyDescent="0.25">
      <c r="K51" s="65" t="s">
        <v>339</v>
      </c>
      <c r="L51" s="66">
        <f>L31</f>
        <v>35000</v>
      </c>
      <c r="M51" s="66">
        <f t="shared" ref="M51:N51" si="12">M31</f>
        <v>244.18604651162789</v>
      </c>
      <c r="N51" s="65" t="str">
        <f t="shared" si="12"/>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1" s="43">
        <f t="shared" si="2"/>
        <v>0</v>
      </c>
      <c r="BC51" s="43" t="str">
        <f>IF(([1]Dotazník!$L$10=ZDROJE!BM51)*AND([1]Dotazník!$AB$20=ZDROJE!BK51)*AND([1]Dotazník!$AB$21=ZDROJE!BJ51),ZDROJE!BP51,"chyba")</f>
        <v>chyba</v>
      </c>
      <c r="BD51" s="43">
        <f t="shared" si="3"/>
        <v>0</v>
      </c>
      <c r="BE51" s="43" t="str">
        <f>IF(([1]Dotazník!$L$10=ZDROJE!BM51)*AND([1]Dotazník!$AB$20=ZDROJE!BK51)*AND([1]Dotazník!$AB$21=ZDROJE!BJ51),ZDROJE!CI51,"chyba")</f>
        <v>chyba</v>
      </c>
      <c r="BF51" s="45" t="s">
        <v>557</v>
      </c>
      <c r="BG51" s="46">
        <v>622</v>
      </c>
      <c r="BH51" s="46" t="s">
        <v>43</v>
      </c>
      <c r="BI51" s="46" t="s">
        <v>179</v>
      </c>
      <c r="BJ51" s="46" t="s">
        <v>542</v>
      </c>
      <c r="BK51" s="46"/>
      <c r="BL51" s="46"/>
      <c r="BM51" s="47"/>
      <c r="BN51" s="46"/>
      <c r="BO51" s="46" t="s">
        <v>129</v>
      </c>
      <c r="BP51" s="48" t="str">
        <f t="shared" si="4"/>
        <v>622 Rozvoj ESF Kof    TF</v>
      </c>
      <c r="BQ51" s="49"/>
      <c r="BR51" s="49"/>
      <c r="BS51" s="49"/>
      <c r="BT51" s="49"/>
      <c r="BU51" s="49"/>
      <c r="BV51" s="49"/>
      <c r="BW51" s="49" t="s">
        <v>270</v>
      </c>
      <c r="BX51" s="49"/>
      <c r="BY51" s="49"/>
      <c r="BZ51" s="50"/>
      <c r="CA51" s="50"/>
      <c r="CB51" s="50"/>
      <c r="CC51" s="50"/>
      <c r="CD51" s="50"/>
      <c r="CE51" s="50"/>
      <c r="CF51" s="50" t="s">
        <v>178</v>
      </c>
      <c r="CG51" s="50"/>
      <c r="CH51" s="50"/>
      <c r="CI51" s="67"/>
      <c r="CJ51" s="67"/>
      <c r="CK51" s="67"/>
      <c r="CL51" s="67"/>
      <c r="CM51" s="67"/>
      <c r="CN51" s="55"/>
      <c r="CO51" s="55"/>
      <c r="CQ51" s="15" t="s">
        <v>558</v>
      </c>
      <c r="CR51" s="15" t="s">
        <v>559</v>
      </c>
    </row>
    <row r="52" spans="11:96" ht="17.25" customHeight="1" x14ac:dyDescent="0.25">
      <c r="K52" s="65" t="s">
        <v>355</v>
      </c>
      <c r="L52" s="66">
        <f>L51</f>
        <v>35000</v>
      </c>
      <c r="M52" s="66">
        <f t="shared" ref="M52:N55" si="13">M51</f>
        <v>244.18604651162789</v>
      </c>
      <c r="N52" s="65" t="str">
        <f t="shared" si="13"/>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2" s="43">
        <f t="shared" si="2"/>
        <v>0</v>
      </c>
      <c r="BC52" s="43" t="str">
        <f>IF(([1]Dotazník!$L$10=ZDROJE!BM52)*AND([1]Dotazník!$AB$20=ZDROJE!BK52)*AND([1]Dotazník!$AB$21=ZDROJE!BJ52),ZDROJE!BP52,"chyba")</f>
        <v>chyba</v>
      </c>
      <c r="BD52" s="43">
        <f t="shared" si="3"/>
        <v>0</v>
      </c>
      <c r="BE52" s="43" t="str">
        <f>IF(([1]Dotazník!$L$10=ZDROJE!BM52)*AND([1]Dotazník!$AB$20=ZDROJE!BK52)*AND([1]Dotazník!$AB$21=ZDROJE!BJ52),ZDROJE!CI52,"chyba")</f>
        <v>chyba</v>
      </c>
      <c r="BF52" s="45" t="s">
        <v>560</v>
      </c>
      <c r="BG52" s="46">
        <v>622</v>
      </c>
      <c r="BH52" s="46" t="s">
        <v>43</v>
      </c>
      <c r="BI52" s="46" t="s">
        <v>179</v>
      </c>
      <c r="BJ52" s="46" t="s">
        <v>542</v>
      </c>
      <c r="BK52" s="46"/>
      <c r="BL52" s="46"/>
      <c r="BM52" s="47"/>
      <c r="BN52" s="46"/>
      <c r="BO52" s="46" t="s">
        <v>130</v>
      </c>
      <c r="BP52" s="48" t="str">
        <f t="shared" si="4"/>
        <v>622 Rozvoj ESF Kof    ZSF</v>
      </c>
      <c r="BQ52" s="49"/>
      <c r="BR52" s="49"/>
      <c r="BS52" s="49"/>
      <c r="BT52" s="49"/>
      <c r="BU52" s="49"/>
      <c r="BV52" s="49"/>
      <c r="BW52" s="49"/>
      <c r="BX52" s="49" t="s">
        <v>271</v>
      </c>
      <c r="BY52" s="49"/>
      <c r="BZ52" s="50"/>
      <c r="CA52" s="50"/>
      <c r="CB52" s="50"/>
      <c r="CC52" s="50"/>
      <c r="CD52" s="50"/>
      <c r="CE52" s="50"/>
      <c r="CF52" s="50"/>
      <c r="CG52" s="50" t="s">
        <v>178</v>
      </c>
      <c r="CH52" s="50"/>
      <c r="CI52" s="67"/>
      <c r="CJ52" s="67"/>
      <c r="CK52" s="67"/>
      <c r="CL52" s="67"/>
      <c r="CM52" s="67"/>
      <c r="CN52" s="55"/>
      <c r="CO52" s="55"/>
      <c r="CQ52" s="15" t="s">
        <v>561</v>
      </c>
      <c r="CR52" s="15" t="s">
        <v>562</v>
      </c>
    </row>
    <row r="53" spans="11:96" ht="17.25" customHeight="1" x14ac:dyDescent="0.25">
      <c r="K53" s="65" t="s">
        <v>367</v>
      </c>
      <c r="L53" s="66">
        <f t="shared" ref="L53:L55" si="14">L52</f>
        <v>35000</v>
      </c>
      <c r="M53" s="66">
        <f t="shared" si="13"/>
        <v>244.18604651162789</v>
      </c>
      <c r="N53" s="65" t="str">
        <f t="shared" si="13"/>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3" s="43">
        <f t="shared" si="2"/>
        <v>0</v>
      </c>
      <c r="BC53" s="43" t="str">
        <f>IF(([1]Dotazník!$L$10=ZDROJE!BM53)*AND([1]Dotazník!$AB$20=ZDROJE!BK53)*AND([1]Dotazník!$AB$21=ZDROJE!BJ53),ZDROJE!BP53,"chyba")</f>
        <v>chyba</v>
      </c>
      <c r="BD53" s="43">
        <f t="shared" si="3"/>
        <v>0</v>
      </c>
      <c r="BE53" s="43" t="str">
        <f>IF(([1]Dotazník!$L$10=ZDROJE!BM53)*AND([1]Dotazník!$AB$20=ZDROJE!BK53)*AND([1]Dotazník!$AB$21=ZDROJE!BJ53),ZDROJE!CI53,"chyba")</f>
        <v>chyba</v>
      </c>
      <c r="BF53" s="45" t="s">
        <v>563</v>
      </c>
      <c r="BG53" s="46">
        <v>622</v>
      </c>
      <c r="BH53" s="46" t="s">
        <v>43</v>
      </c>
      <c r="BI53" s="46" t="s">
        <v>179</v>
      </c>
      <c r="BJ53" s="46" t="s">
        <v>542</v>
      </c>
      <c r="BK53" s="46"/>
      <c r="BL53" s="46"/>
      <c r="BM53" s="47"/>
      <c r="BN53" s="46"/>
      <c r="BO53" s="46" t="s">
        <v>131</v>
      </c>
      <c r="BP53" s="48" t="str">
        <f t="shared" si="4"/>
        <v>622 Rozvoj ESF Kof    ZF</v>
      </c>
      <c r="BQ53" s="49"/>
      <c r="BR53" s="49"/>
      <c r="BS53" s="49"/>
      <c r="BT53" s="49"/>
      <c r="BU53" s="49"/>
      <c r="BV53" s="49"/>
      <c r="BW53" s="49"/>
      <c r="BX53" s="49"/>
      <c r="BY53" s="49" t="s">
        <v>272</v>
      </c>
      <c r="BZ53" s="50"/>
      <c r="CA53" s="50"/>
      <c r="CB53" s="50"/>
      <c r="CC53" s="50"/>
      <c r="CD53" s="50"/>
      <c r="CE53" s="50"/>
      <c r="CF53" s="50"/>
      <c r="CG53" s="50"/>
      <c r="CH53" s="50" t="s">
        <v>178</v>
      </c>
      <c r="CI53" s="67"/>
      <c r="CJ53" s="67"/>
      <c r="CK53" s="67"/>
      <c r="CL53" s="67"/>
      <c r="CM53" s="67"/>
      <c r="CN53" s="55"/>
      <c r="CO53" s="55"/>
      <c r="CQ53" s="15" t="s">
        <v>564</v>
      </c>
      <c r="CR53" s="15" t="s">
        <v>247</v>
      </c>
    </row>
    <row r="54" spans="11:96" ht="17.25" customHeight="1" x14ac:dyDescent="0.25">
      <c r="K54" s="65" t="s">
        <v>378</v>
      </c>
      <c r="L54" s="66">
        <f t="shared" si="14"/>
        <v>35000</v>
      </c>
      <c r="M54" s="66">
        <f t="shared" si="13"/>
        <v>244.18604651162789</v>
      </c>
      <c r="N54" s="65" t="str">
        <f t="shared" si="13"/>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4" s="43">
        <f t="shared" si="2"/>
        <v>0</v>
      </c>
      <c r="BC54" s="43" t="str">
        <f>IF(([1]Dotazník!$L$10=ZDROJE!BM54)*AND([1]Dotazník!$AB$20=ZDROJE!BK54)*AND([1]Dotazník!$AB$21=ZDROJE!BJ54),ZDROJE!BP54,"chyba")</f>
        <v>chyba</v>
      </c>
      <c r="BD54" s="43">
        <f t="shared" si="3"/>
        <v>0</v>
      </c>
      <c r="BE54" s="43" t="str">
        <f>IF(([1]Dotazník!$L$10=ZDROJE!BM54)*AND([1]Dotazník!$AB$20=ZDROJE!BK54)*AND([1]Dotazník!$AB$21=ZDROJE!BJ54),ZDROJE!CI54,"chyba")</f>
        <v>chyba</v>
      </c>
      <c r="BF54" s="45" t="s">
        <v>565</v>
      </c>
      <c r="BG54" s="46">
        <v>622</v>
      </c>
      <c r="BH54" s="46" t="s">
        <v>43</v>
      </c>
      <c r="BI54" s="46" t="s">
        <v>179</v>
      </c>
      <c r="BJ54" s="46" t="s">
        <v>542</v>
      </c>
      <c r="BK54" s="46"/>
      <c r="BL54" s="46"/>
      <c r="BM54" s="47"/>
      <c r="BN54" s="46"/>
      <c r="BO54" s="46" t="s">
        <v>132</v>
      </c>
      <c r="BP54" s="48" t="str">
        <f t="shared" si="4"/>
        <v>622 Rozvoj ESF Kof    REK</v>
      </c>
      <c r="BQ54" s="49" t="s">
        <v>157</v>
      </c>
      <c r="BR54" s="49"/>
      <c r="BS54" s="49"/>
      <c r="BT54" s="49"/>
      <c r="BU54" s="49"/>
      <c r="BV54" s="49"/>
      <c r="BW54" s="49"/>
      <c r="BX54" s="49"/>
      <c r="BY54" s="49"/>
      <c r="BZ54" s="50" t="s">
        <v>178</v>
      </c>
      <c r="CA54" s="50"/>
      <c r="CB54" s="50"/>
      <c r="CC54" s="50"/>
      <c r="CD54" s="50"/>
      <c r="CE54" s="50"/>
      <c r="CF54" s="50"/>
      <c r="CG54" s="50"/>
      <c r="CH54" s="50"/>
      <c r="CI54" s="67"/>
      <c r="CJ54" s="67"/>
      <c r="CK54" s="67"/>
      <c r="CL54" s="67"/>
      <c r="CM54" s="67"/>
      <c r="CN54" s="55"/>
      <c r="CO54" s="55"/>
      <c r="CQ54" s="15" t="s">
        <v>566</v>
      </c>
      <c r="CR54" s="15" t="s">
        <v>247</v>
      </c>
    </row>
    <row r="55" spans="11:96" ht="17.25" customHeight="1" x14ac:dyDescent="0.25">
      <c r="K55" s="65" t="s">
        <v>388</v>
      </c>
      <c r="L55" s="66">
        <f t="shared" si="14"/>
        <v>35000</v>
      </c>
      <c r="M55" s="66">
        <f t="shared" si="13"/>
        <v>244.18604651162789</v>
      </c>
      <c r="N55" s="65" t="str">
        <f t="shared" si="13"/>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55" s="43">
        <f t="shared" si="2"/>
        <v>0</v>
      </c>
      <c r="BC55" s="43" t="str">
        <f>IF(([1]Dotazník!$L$10=ZDROJE!BM55)*AND([1]Dotazník!$AB$20=ZDROJE!BK55)*AND([1]Dotazník!$AB$21=ZDROJE!BJ55),ZDROJE!BP55,"chyba")</f>
        <v>chyba</v>
      </c>
      <c r="BD55" s="43">
        <f t="shared" si="3"/>
        <v>0</v>
      </c>
      <c r="BE55" s="43" t="str">
        <f>IF(([1]Dotazník!$L$10=ZDROJE!BM55)*AND([1]Dotazník!$AB$20=ZDROJE!BK55)*AND([1]Dotazník!$AB$21=ZDROJE!BJ55),ZDROJE!CI55,"chyba")</f>
        <v>chyba</v>
      </c>
      <c r="BF55" s="45" t="s">
        <v>567</v>
      </c>
      <c r="BG55" s="46">
        <v>622</v>
      </c>
      <c r="BH55" s="46" t="s">
        <v>191</v>
      </c>
      <c r="BI55" s="46" t="s">
        <v>568</v>
      </c>
      <c r="BJ55" s="46" t="s">
        <v>148</v>
      </c>
      <c r="BK55" s="46" t="s">
        <v>180</v>
      </c>
      <c r="BL55" s="46" t="s">
        <v>172</v>
      </c>
      <c r="BM55" s="47" t="s">
        <v>569</v>
      </c>
      <c r="BN55" s="46" t="s">
        <v>173</v>
      </c>
      <c r="BO55" s="46"/>
      <c r="BP55" s="48" t="str">
        <f>CONCATENATE(BG55," ",BI55," ",BJ55," ",BK55," ",BL55," ",BN55," ",BO55)</f>
        <v xml:space="preserve">622 Rozvoj ERDF PN ZV KA1 DA1.1 </v>
      </c>
      <c r="BQ55" s="49" t="s">
        <v>157</v>
      </c>
      <c r="BR55" s="49"/>
      <c r="BS55" s="49"/>
      <c r="BT55" s="49"/>
      <c r="BU55" s="49"/>
      <c r="BV55" s="49"/>
      <c r="BW55" s="49"/>
      <c r="BX55" s="49"/>
      <c r="BY55" s="49"/>
      <c r="BZ55" s="50">
        <v>1</v>
      </c>
      <c r="CA55" s="50">
        <v>1</v>
      </c>
      <c r="CB55" s="50"/>
      <c r="CC55" s="50"/>
      <c r="CD55" s="50"/>
      <c r="CE55" s="50"/>
      <c r="CF55" s="50"/>
      <c r="CG55" s="50"/>
      <c r="CH55" s="50"/>
      <c r="CI55" s="46" t="str">
        <f>VLOOKUP(BK55,[2]ZDROJ!$A$2:$C$20,2,0)</f>
        <v>102020</v>
      </c>
      <c r="CJ55" s="46" t="s">
        <v>182</v>
      </c>
      <c r="CK55" s="54" t="s">
        <v>570</v>
      </c>
      <c r="CL55" s="46" t="s">
        <v>571</v>
      </c>
      <c r="CM55" s="46" t="s">
        <v>572</v>
      </c>
      <c r="CN55" s="55"/>
      <c r="CO55" s="55"/>
      <c r="CQ55" s="15" t="s">
        <v>573</v>
      </c>
      <c r="CR55" s="15" t="s">
        <v>574</v>
      </c>
    </row>
    <row r="56" spans="11:96" ht="17.25" customHeight="1" x14ac:dyDescent="0.25">
      <c r="K56" s="65" t="s">
        <v>395</v>
      </c>
      <c r="L56" s="66">
        <f>L38</f>
        <v>34000</v>
      </c>
      <c r="M56" s="66">
        <f t="shared" ref="M56:N56" si="15">M38</f>
        <v>237.20930232558138</v>
      </c>
      <c r="N56" s="65" t="str">
        <f t="shared" si="15"/>
        <v xml:space="preserve">Je hlavním zdrojem znalostí procesu řešení pro realizaci projektu pro IT/ICT odbornost. Garantuje technickou správnost výstupů projektu, tj. odpovídá za zvolené postupy a řešení projektu dle přijatých technických i procedurálních standardů, včetně standardů pro zajištění jakosti projektu, a to z pohledu IT/ICT. 
K jeho základním povinnostem patří:
• navržení nebo kontrola návrhu základního technického řešení výstupů projektu dle definovaného projektového záměru;
• zaručení technické správnosti a proveditelnosti řešení;
• trvalé udržování konzistentního, moderního a dostatečně technologicky robustního řešení na jeho nízkých technologických vrstvách až po síťovou vrstvu včetně;
• kompatibilita technické stránky řešení se současnými, či plánovanými a již schválenými, v organizaci používanými technologiemi a projekty;
• zajištění jednoznačnosti a technické správnosti předmětu smlouvy s dodavatelem (z pohledu IT/ICT);
• oponentura a schválení řešení od případného dodavatele IT/ICT řešení;
• garance souladu IT/ICT výstupů nebo jejich částí se světovými technologickými trendy;
• průzkum technických a technologických procedur, zajištění jejich adekvátnosti a efektivnosti, identifikace a případné přijímání nezbytné korektivní akce;
• průběžný monitoring / kontrola kvality dílčích výstupů projektu po technické stránce;
• identifikace technických a technologických problémů a neshod, iniciace procedur řízeného řešení problémů;
• uplatňování adekvátních testovacích, inspekčních a přezkumných aktivit, které byly definovány projektovým plánem a od něho odvozených projektových dokumentů;
• definice bezpečnostních omezení projektu i univerzity a dohled na jejich dodržování;
• zajištění souladu provedených technických/technologických řešení s evropskou, národní i interní legislativou.
</v>
      </c>
      <c r="BB56" s="43">
        <f t="shared" si="2"/>
        <v>0</v>
      </c>
      <c r="BC56" s="43" t="str">
        <f>IF(([1]Dotazník!$L$10=ZDROJE!BM56)*AND([1]Dotazník!$AB$20=ZDROJE!BK56)*AND([1]Dotazník!$AB$21=ZDROJE!BJ56),ZDROJE!BP56,"chyba")</f>
        <v>chyba</v>
      </c>
      <c r="BD56" s="43">
        <f t="shared" si="3"/>
        <v>0</v>
      </c>
      <c r="BE56" s="43" t="str">
        <f>IF(([1]Dotazník!$L$10=ZDROJE!BM56)*AND([1]Dotazník!$AB$20=ZDROJE!BK56)*AND([1]Dotazník!$AB$21=ZDROJE!BJ56),ZDROJE!CI56,"chyba")</f>
        <v>chyba</v>
      </c>
      <c r="BF56" s="45" t="s">
        <v>575</v>
      </c>
      <c r="BG56" s="46">
        <v>622</v>
      </c>
      <c r="BH56" s="46" t="s">
        <v>191</v>
      </c>
      <c r="BI56" s="46" t="s">
        <v>568</v>
      </c>
      <c r="BJ56" s="46" t="s">
        <v>148</v>
      </c>
      <c r="BK56" s="46" t="s">
        <v>217</v>
      </c>
      <c r="BL56" s="46" t="s">
        <v>172</v>
      </c>
      <c r="BM56" s="47" t="s">
        <v>569</v>
      </c>
      <c r="BN56" s="46" t="s">
        <v>173</v>
      </c>
      <c r="BO56" s="46"/>
      <c r="BP56" s="48" t="str">
        <f t="shared" ref="BP56:BP85" si="16">CONCATENATE(BG56," ",BI56," ",BJ56," ",BK56," ",BL56," ",BN56," ",BO56)</f>
        <v xml:space="preserve">622 Rozvoj ERDF PN NV KA1 DA1.1 </v>
      </c>
      <c r="BQ56" s="49" t="s">
        <v>157</v>
      </c>
      <c r="BR56" s="49"/>
      <c r="BS56" s="49"/>
      <c r="BT56" s="49"/>
      <c r="BU56" s="49"/>
      <c r="BV56" s="49"/>
      <c r="BW56" s="49"/>
      <c r="BX56" s="49"/>
      <c r="BY56" s="49"/>
      <c r="BZ56" s="50">
        <v>1</v>
      </c>
      <c r="CA56" s="50">
        <v>1</v>
      </c>
      <c r="CB56" s="50"/>
      <c r="CC56" s="50"/>
      <c r="CD56" s="50"/>
      <c r="CE56" s="50"/>
      <c r="CF56" s="50"/>
      <c r="CG56" s="50"/>
      <c r="CH56" s="50"/>
      <c r="CI56" s="46" t="str">
        <f>VLOOKUP(BK56,[2]ZDROJ!$A$2:$C$20,2,0)</f>
        <v>102031</v>
      </c>
      <c r="CJ56" s="46" t="s">
        <v>182</v>
      </c>
      <c r="CK56" s="54" t="s">
        <v>570</v>
      </c>
      <c r="CL56" s="46" t="s">
        <v>571</v>
      </c>
      <c r="CM56" s="46" t="s">
        <v>572</v>
      </c>
      <c r="CN56" s="55"/>
      <c r="CO56" s="55"/>
      <c r="CQ56" s="15" t="s">
        <v>576</v>
      </c>
      <c r="CR56" s="15" t="s">
        <v>577</v>
      </c>
    </row>
    <row r="57" spans="11:96" ht="17.25" customHeight="1" x14ac:dyDescent="0.25">
      <c r="K57" s="68" t="s">
        <v>164</v>
      </c>
      <c r="L57" s="69">
        <f>L44</f>
        <v>66000</v>
      </c>
      <c r="M57" s="69">
        <f t="shared" ref="M57:N57" si="17">M44</f>
        <v>460.46511627906972</v>
      </c>
      <c r="N57" s="68" t="str">
        <f t="shared" si="17"/>
        <v xml:space="preserve">Je hlavní výkonná pozice při realizaci projektu, je plně odpovědný za realizaci aktivit projektu sponzorovi/donátorovi projektu, resp. monitorovacímu výboru projektu.
Odpovídá především za včasné plnění cílů, harmonogramu projektu a rozpočtu projektu. Ve spolupráci s ostatními členy odborného i realizačního týmu provádí rozhodnutí, která mají vliv na úspěšnou realizaci projektu.
Má jasně deklarovanou pravomoc řídit projekt na dennodenní výkonné bázi. Je oprávněn rozhodovat samostatně v rámci platných smluvních vztahů, rozhodnutí překračující stanovený smluvní rámec je povinen eskalovat na úroveň monitorovacího výboru projektu či vedení univerzity. Toleranční meze projektu budou stanoveny při zahájení projektu monitorovacím výborem v závislosti na typu a rozsahu projektu.
Do jeho náplně a odpovědnosti patří především:
• řízení a koordinace projektu jako celku;
• plánování projektu (krátkodobé, střednědobé, dlouhodobé);
• řízení realizace projektu v čase, rozsahu a kvalitě tak, aby byly naplněny definované cíle projektu (řízení a koordinace dílčích aktivit projektu po stránce obsahové i časové);
• identifikace a řízení rizik projektu, příp. realizace preventivních a nápravných opatření;
• řízení (úkolování) členů týmů;
• definování specifické náplně práce členů realizačního a v případě absence Odborného řešitele – Garanta aktivity i odborného týmu;
• zabezpečení informovanosti v rámci projektu;
• zabezpečení součinnosti a synchronizace vzájemně závislých aktivit týmů projektu; 
• monitoring / kontrola projektu;
• koordinace činností případných dodavatelů a zástupců třetích stran zapojovaných do projektu;
• kontrola podkladů od případného dodavatele z hlediska věcné správnosti;
• předkládání a projednávání požadavků na změnu projektu se všemi zainteresovanými stranami;
• rozhodování o nepodstatných změnách projektu definovaných tolerancemi; 
• autorizace formálních dokumentů projektu (např. zápisy z jednání, předávací protokoly, faktury apod.);
• sledování a vyhodnocování kvality výstupů vytvářené odborným týmem,
• dohled nad obsahovým řízením projektu, příp. administrativním řízením projektu v rámci definovaného rozpočtu pokud není přítomen administrativní ředitel;
• reporting – spolupráce na přípravě a koordinace přípravy potřebných podkladů pro příslušnou monitorovací úroveň v a předkládání těchto dokumentů v požadované kvalitě a čase příslušným pracovníkům;
• řízení procedur řešení problémů a rozhodování případných sporů (v souladu s jednotně stanovenými postupy), které nevyžadují rozhodnutí monitorovacího výboru;
• eskalace nevyřešených problémů na vyšší úroveň řízení – monitorovací výbor projektu.
</v>
      </c>
      <c r="BB57" s="43">
        <f t="shared" si="2"/>
        <v>0</v>
      </c>
      <c r="BC57" s="43" t="str">
        <f>IF(([1]Dotazník!$L$10=ZDROJE!BM57)*AND([1]Dotazník!$AB$20=ZDROJE!BK57)*AND([1]Dotazník!$AB$21=ZDROJE!BJ57),ZDROJE!BP57,"chyba")</f>
        <v>chyba</v>
      </c>
      <c r="BD57" s="43">
        <f t="shared" si="3"/>
        <v>0</v>
      </c>
      <c r="BE57" s="43" t="str">
        <f>IF(([1]Dotazník!$L$10=ZDROJE!BM57)*AND([1]Dotazník!$AB$20=ZDROJE!BK57)*AND([1]Dotazník!$AB$21=ZDROJE!BJ57),ZDROJE!CI57,"chyba")</f>
        <v>chyba</v>
      </c>
      <c r="BF57" s="45" t="s">
        <v>578</v>
      </c>
      <c r="BG57" s="46">
        <v>622</v>
      </c>
      <c r="BH57" s="46" t="s">
        <v>191</v>
      </c>
      <c r="BI57" s="46" t="s">
        <v>568</v>
      </c>
      <c r="BJ57" s="46" t="s">
        <v>148</v>
      </c>
      <c r="BK57" s="46" t="s">
        <v>180</v>
      </c>
      <c r="BL57" s="46" t="s">
        <v>172</v>
      </c>
      <c r="BM57" s="47" t="s">
        <v>579</v>
      </c>
      <c r="BN57" s="46" t="s">
        <v>215</v>
      </c>
      <c r="BO57" s="46"/>
      <c r="BP57" s="48" t="str">
        <f t="shared" si="16"/>
        <v xml:space="preserve">622 Rozvoj ERDF PN ZV KA1 DA1.2 </v>
      </c>
      <c r="BQ57" s="49" t="s">
        <v>157</v>
      </c>
      <c r="BR57" s="49"/>
      <c r="BS57" s="49"/>
      <c r="BT57" s="49"/>
      <c r="BU57" s="49"/>
      <c r="BV57" s="49"/>
      <c r="BW57" s="49"/>
      <c r="BX57" s="49"/>
      <c r="BY57" s="49"/>
      <c r="BZ57" s="50">
        <v>1</v>
      </c>
      <c r="CA57" s="50"/>
      <c r="CB57" s="50">
        <v>1</v>
      </c>
      <c r="CC57" s="50"/>
      <c r="CD57" s="50"/>
      <c r="CE57" s="50"/>
      <c r="CF57" s="50"/>
      <c r="CG57" s="50"/>
      <c r="CH57" s="50"/>
      <c r="CI57" s="46" t="str">
        <f>VLOOKUP(BK57,[2]ZDROJ!$A$2:$C$20,2,0)</f>
        <v>102020</v>
      </c>
      <c r="CJ57" s="46" t="s">
        <v>182</v>
      </c>
      <c r="CK57" s="54" t="s">
        <v>570</v>
      </c>
      <c r="CL57" s="46" t="s">
        <v>571</v>
      </c>
      <c r="CM57" s="46" t="s">
        <v>572</v>
      </c>
      <c r="CN57" s="55"/>
      <c r="CO57" s="55"/>
      <c r="CQ57" s="15" t="s">
        <v>580</v>
      </c>
      <c r="CR57" s="15" t="s">
        <v>581</v>
      </c>
    </row>
    <row r="58" spans="11:96" ht="17.25" customHeight="1" x14ac:dyDescent="0.25">
      <c r="K58" s="70" t="s">
        <v>212</v>
      </c>
      <c r="L58" s="71">
        <f>L29</f>
        <v>35000</v>
      </c>
      <c r="M58" s="71">
        <f t="shared" ref="M58:N58" si="18">M29</f>
        <v>244.18604651162789</v>
      </c>
      <c r="N58" s="68" t="str">
        <f t="shared" si="18"/>
        <v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v>
      </c>
      <c r="BB58" s="43">
        <f t="shared" si="2"/>
        <v>0</v>
      </c>
      <c r="BC58" s="43" t="str">
        <f>IF(([1]Dotazník!$L$10=ZDROJE!BM58)*AND([1]Dotazník!$AB$20=ZDROJE!BK58)*AND([1]Dotazník!$AB$21=ZDROJE!BJ58),ZDROJE!BP58,"chyba")</f>
        <v>chyba</v>
      </c>
      <c r="BD58" s="43">
        <f t="shared" si="3"/>
        <v>0</v>
      </c>
      <c r="BE58" s="43" t="str">
        <f>IF(([1]Dotazník!$L$10=ZDROJE!BM58)*AND([1]Dotazník!$AB$20=ZDROJE!BK58)*AND([1]Dotazník!$AB$21=ZDROJE!BJ58),ZDROJE!CI58,"chyba")</f>
        <v>chyba</v>
      </c>
      <c r="BF58" s="45" t="s">
        <v>582</v>
      </c>
      <c r="BG58" s="46">
        <v>622</v>
      </c>
      <c r="BH58" s="46" t="s">
        <v>191</v>
      </c>
      <c r="BI58" s="46" t="s">
        <v>568</v>
      </c>
      <c r="BJ58" s="46" t="s">
        <v>148</v>
      </c>
      <c r="BK58" s="46" t="s">
        <v>217</v>
      </c>
      <c r="BL58" s="46" t="s">
        <v>172</v>
      </c>
      <c r="BM58" s="47" t="s">
        <v>579</v>
      </c>
      <c r="BN58" s="46" t="s">
        <v>215</v>
      </c>
      <c r="BO58" s="46"/>
      <c r="BP58" s="48" t="str">
        <f t="shared" si="16"/>
        <v xml:space="preserve">622 Rozvoj ERDF PN NV KA1 DA1.2 </v>
      </c>
      <c r="BQ58" s="49" t="s">
        <v>157</v>
      </c>
      <c r="BR58" s="49"/>
      <c r="BS58" s="49"/>
      <c r="BT58" s="49"/>
      <c r="BU58" s="49"/>
      <c r="BV58" s="49"/>
      <c r="BW58" s="49"/>
      <c r="BX58" s="49"/>
      <c r="BY58" s="49"/>
      <c r="BZ58" s="50">
        <v>1</v>
      </c>
      <c r="CA58" s="50"/>
      <c r="CB58" s="50">
        <v>1</v>
      </c>
      <c r="CC58" s="50"/>
      <c r="CD58" s="50"/>
      <c r="CE58" s="50"/>
      <c r="CF58" s="50"/>
      <c r="CG58" s="50"/>
      <c r="CH58" s="50"/>
      <c r="CI58" s="46" t="str">
        <f>VLOOKUP(BK58,[2]ZDROJ!$A$2:$C$20,2,0)</f>
        <v>102031</v>
      </c>
      <c r="CJ58" s="46" t="s">
        <v>182</v>
      </c>
      <c r="CK58" s="54" t="s">
        <v>570</v>
      </c>
      <c r="CL58" s="46" t="s">
        <v>571</v>
      </c>
      <c r="CM58" s="46" t="s">
        <v>572</v>
      </c>
      <c r="CN58" s="55"/>
      <c r="CO58" s="55"/>
      <c r="CQ58" s="15" t="s">
        <v>583</v>
      </c>
      <c r="CR58" s="15" t="s">
        <v>584</v>
      </c>
    </row>
    <row r="59" spans="11:96" ht="17.25" customHeight="1" x14ac:dyDescent="0.25">
      <c r="K59" s="70" t="s">
        <v>238</v>
      </c>
      <c r="L59" s="71">
        <f>L58</f>
        <v>35000</v>
      </c>
      <c r="M59" s="71">
        <f t="shared" ref="M59:N59" si="19">M58</f>
        <v>244.18604651162789</v>
      </c>
      <c r="N59" s="68" t="str">
        <f t="shared" si="19"/>
        <v xml:space="preserve">Projektová role Projektový a finanční manažer je důležitou součástí realizačního týmu. 
Odpovídá zejména za:
• včasné komplexní zpracování a předkládání monitorovacích zpráv, žádostí o platbu a dalších periodických zpráv a žádostí dotačního projektu;
• plánování a koordinaci čerpání finančních zdrojů projektu; 
• tvorbu rozpočtových výhledů projektu;
• přípravu podkladů pro zajištění a alokaci potřebných finančních prostředků pro realizaci projektu;
• vykazování stavu čerpání finančních zdrojů v rámci projektu;
• dodržování rozpočtových pravidel a jiných finančních pravidel (zákonných, vnitřních předpisů apod.) v rámci projektu;
• zabezpečení ekonomické a finanční stránky plánovaných veřejných zakázek projektu;
• kontrolu správnosti veškerých smluvních dokumentů po finanční stránce;
• kontrolu podkladů od dodavatele z hlediska věcné a formální správnosti a z hlediska uznatelnosti nákladů;
• evidenci uzavřených smluv projektu a z nich vyplývajících stávajících i budoucích závazků a pohledávek (cash-flow projektu); 
• spolupráci s pracovníky odborných útvarů/oddělení/odborů/apod. univerzity vykonávající činnosti ve prospěch projektu;
• kontrolu dodržování postupů práce s formalizovanými dokumenty a správné užívání všech formulářů a standardů;
• zpracování potřebných podkladů pro včasné nárokování financí od poskytovatele dotace a odpovědnost za operativní komunikaci s relevantními institucemi a organizačními útvary mající vliv na řízení projektu (např. Poskytovatel dotace, auditní orgány a instituce apod.);
• přípravu a zpracování podkladových dokumentů pro administraci projektu z pohledu pravidel financování.
</v>
      </c>
      <c r="BB59" s="43">
        <f t="shared" si="2"/>
        <v>0</v>
      </c>
      <c r="BC59" s="43" t="str">
        <f>IF(([1]Dotazník!$L$10=ZDROJE!BM59)*AND([1]Dotazník!$AB$20=ZDROJE!BK59)*AND([1]Dotazník!$AB$21=ZDROJE!BJ59),ZDROJE!BP59,"chyba")</f>
        <v>chyba</v>
      </c>
      <c r="BD59" s="43">
        <f t="shared" si="3"/>
        <v>0</v>
      </c>
      <c r="BE59" s="43" t="str">
        <f>IF(([1]Dotazník!$L$10=ZDROJE!BM59)*AND([1]Dotazník!$AB$20=ZDROJE!BK59)*AND([1]Dotazník!$AB$21=ZDROJE!BJ59),ZDROJE!CI59,"chyba")</f>
        <v>chyba</v>
      </c>
      <c r="BF59" s="45" t="s">
        <v>585</v>
      </c>
      <c r="BG59" s="46">
        <v>622</v>
      </c>
      <c r="BH59" s="46" t="s">
        <v>191</v>
      </c>
      <c r="BI59" s="46" t="s">
        <v>568</v>
      </c>
      <c r="BJ59" s="46" t="s">
        <v>148</v>
      </c>
      <c r="BK59" s="46" t="s">
        <v>180</v>
      </c>
      <c r="BL59" s="46" t="s">
        <v>172</v>
      </c>
      <c r="BM59" s="47" t="s">
        <v>586</v>
      </c>
      <c r="BN59" s="46" t="s">
        <v>587</v>
      </c>
      <c r="BO59" s="46"/>
      <c r="BP59" s="48" t="str">
        <f t="shared" si="16"/>
        <v xml:space="preserve">622 Rozvoj ERDF PN ZV KA1 DA1.3 </v>
      </c>
      <c r="BQ59" s="49" t="s">
        <v>157</v>
      </c>
      <c r="BR59" s="49"/>
      <c r="BS59" s="49"/>
      <c r="BT59" s="49"/>
      <c r="BU59" s="49"/>
      <c r="BV59" s="49"/>
      <c r="BW59" s="49"/>
      <c r="BX59" s="49"/>
      <c r="BY59" s="49"/>
      <c r="BZ59" s="50">
        <v>1</v>
      </c>
      <c r="CA59" s="50"/>
      <c r="CB59" s="50"/>
      <c r="CC59" s="50">
        <v>1</v>
      </c>
      <c r="CD59" s="50"/>
      <c r="CE59" s="50"/>
      <c r="CF59" s="50"/>
      <c r="CG59" s="50"/>
      <c r="CH59" s="50"/>
      <c r="CI59" s="46" t="str">
        <f>VLOOKUP(BK59,[2]ZDROJ!$A$2:$C$20,2,0)</f>
        <v>102020</v>
      </c>
      <c r="CJ59" s="46" t="s">
        <v>182</v>
      </c>
      <c r="CK59" s="54" t="s">
        <v>570</v>
      </c>
      <c r="CL59" s="46" t="s">
        <v>571</v>
      </c>
      <c r="CM59" s="46" t="s">
        <v>572</v>
      </c>
      <c r="CN59" s="55"/>
      <c r="CO59" s="55"/>
      <c r="CQ59" s="15" t="s">
        <v>588</v>
      </c>
      <c r="CR59" s="15" t="s">
        <v>247</v>
      </c>
    </row>
    <row r="60" spans="11:96" ht="17.25" customHeight="1" x14ac:dyDescent="0.25">
      <c r="K60" s="70" t="s">
        <v>261</v>
      </c>
      <c r="L60" s="71">
        <f>L32</f>
        <v>28000</v>
      </c>
      <c r="M60" s="71">
        <f t="shared" ref="M60:N60" si="20">M32</f>
        <v>195.3488372093023</v>
      </c>
      <c r="N60" s="68" t="str">
        <f t="shared" si="20"/>
        <v xml:space="preserve">K jeho základním povinnostem patří:
• samostatné zajišťování investičních agend;
• poradenství v oblasti jeho působnosti, školící práce v oblasti jeho působnosti;
• příprava a realizace jednotlivých investic menšího rozsahu nebo části velkých investic;
• shromažďování a vyhodnocování požadavků na výstavbu, zpracování zadávacích listů; 
• zpracování návrhů investičních plánů, výběrových řízení investičních akcí po věcné stránce; 
• koordinace účastníků investičních akcí;
• případně provádění stavebního dozoru, příprava a zajišťování dokumentace pro stavební povolení apod.
• úzká spolupráce s Projektovým a finančním manažerem projektu, kterému je povinen řádně a včas zajistit potřebné podklady pro monitorování projektu ve vztahu k poskytovateli dotace.
</v>
      </c>
      <c r="BB60" s="43">
        <f t="shared" si="2"/>
        <v>0</v>
      </c>
      <c r="BC60" s="43" t="str">
        <f>IF(([1]Dotazník!$L$10=ZDROJE!BM60)*AND([1]Dotazník!$AB$20=ZDROJE!BK60)*AND([1]Dotazník!$AB$21=ZDROJE!BJ60),ZDROJE!BP60,"chyba")</f>
        <v>chyba</v>
      </c>
      <c r="BD60" s="43">
        <f t="shared" si="3"/>
        <v>0</v>
      </c>
      <c r="BE60" s="43" t="str">
        <f>IF(([1]Dotazník!$L$10=ZDROJE!BM60)*AND([1]Dotazník!$AB$20=ZDROJE!BK60)*AND([1]Dotazník!$AB$21=ZDROJE!BJ60),ZDROJE!CI60,"chyba")</f>
        <v>chyba</v>
      </c>
      <c r="BF60" s="45" t="s">
        <v>589</v>
      </c>
      <c r="BG60" s="46">
        <v>622</v>
      </c>
      <c r="BH60" s="46" t="s">
        <v>191</v>
      </c>
      <c r="BI60" s="46" t="s">
        <v>568</v>
      </c>
      <c r="BJ60" s="46" t="s">
        <v>148</v>
      </c>
      <c r="BK60" s="46" t="s">
        <v>217</v>
      </c>
      <c r="BL60" s="46" t="s">
        <v>172</v>
      </c>
      <c r="BM60" s="47" t="s">
        <v>586</v>
      </c>
      <c r="BN60" s="46" t="s">
        <v>587</v>
      </c>
      <c r="BO60" s="46"/>
      <c r="BP60" s="48" t="str">
        <f t="shared" si="16"/>
        <v xml:space="preserve">622 Rozvoj ERDF PN NV KA1 DA1.3 </v>
      </c>
      <c r="BQ60" s="49" t="s">
        <v>157</v>
      </c>
      <c r="BR60" s="49"/>
      <c r="BS60" s="49"/>
      <c r="BT60" s="49"/>
      <c r="BU60" s="49"/>
      <c r="BV60" s="49"/>
      <c r="BW60" s="49"/>
      <c r="BX60" s="49"/>
      <c r="BY60" s="49"/>
      <c r="BZ60" s="50">
        <v>1</v>
      </c>
      <c r="CA60" s="50"/>
      <c r="CB60" s="50"/>
      <c r="CC60" s="50">
        <v>1</v>
      </c>
      <c r="CD60" s="50"/>
      <c r="CE60" s="50"/>
      <c r="CF60" s="50"/>
      <c r="CG60" s="50"/>
      <c r="CH60" s="50"/>
      <c r="CI60" s="46" t="str">
        <f>VLOOKUP(BK60,[2]ZDROJ!$A$2:$C$20,2,0)</f>
        <v>102031</v>
      </c>
      <c r="CJ60" s="46" t="s">
        <v>182</v>
      </c>
      <c r="CK60" s="54" t="s">
        <v>570</v>
      </c>
      <c r="CL60" s="46" t="s">
        <v>571</v>
      </c>
      <c r="CM60" s="46" t="s">
        <v>572</v>
      </c>
      <c r="CN60" s="55"/>
      <c r="CO60" s="55"/>
      <c r="CQ60" s="15" t="s">
        <v>590</v>
      </c>
      <c r="CR60" s="15" t="s">
        <v>247</v>
      </c>
    </row>
    <row r="61" spans="11:96" ht="17.25" customHeight="1" x14ac:dyDescent="0.25">
      <c r="K61" s="70" t="s">
        <v>286</v>
      </c>
      <c r="L61" s="71">
        <f>L32</f>
        <v>28000</v>
      </c>
      <c r="M61" s="71">
        <f t="shared" ref="M61:N62" si="21">M32</f>
        <v>195.3488372093023</v>
      </c>
      <c r="N61" s="68" t="str">
        <f t="shared" si="21"/>
        <v xml:space="preserve">K jeho základním povinnostem patří:
• samostatné zajišťování investičních agend;
• poradenství v oblasti jeho působnosti, školící práce v oblasti jeho působnosti;
• příprava a realizace jednotlivých investic menšího rozsahu nebo části velkých investic;
• shromažďování a vyhodnocování požadavků na výstavbu, zpracování zadávacích listů; 
• zpracování návrhů investičních plánů, výběrových řízení investičních akcí po věcné stránce; 
• koordinace účastníků investičních akcí;
• případně provádění stavebního dozoru, příprava a zajišťování dokumentace pro stavební povolení apod.
• úzká spolupráce s Projektovým a finančním manažerem projektu, kterému je povinen řádně a včas zajistit potřebné podklady pro monitorování projektu ve vztahu k poskytovateli dotace.
</v>
      </c>
      <c r="BB61" s="43">
        <f t="shared" si="2"/>
        <v>0</v>
      </c>
      <c r="BC61" s="43" t="str">
        <f>IF(([1]Dotazník!$L$10=ZDROJE!BM61)*AND([1]Dotazník!$AB$20=ZDROJE!BK61)*AND([1]Dotazník!$AB$21=ZDROJE!BJ61),ZDROJE!BP61,"chyba")</f>
        <v>chyba</v>
      </c>
      <c r="BD61" s="43">
        <f t="shared" si="3"/>
        <v>0</v>
      </c>
      <c r="BE61" s="43" t="str">
        <f>IF(([1]Dotazník!$L$10=ZDROJE!BM61)*AND([1]Dotazník!$AB$20=ZDROJE!BK61)*AND([1]Dotazník!$AB$21=ZDROJE!BJ61),ZDROJE!CI61,"chyba")</f>
        <v>chyba</v>
      </c>
      <c r="BF61" s="45" t="s">
        <v>591</v>
      </c>
      <c r="BG61" s="46">
        <v>622</v>
      </c>
      <c r="BH61" s="46" t="s">
        <v>191</v>
      </c>
      <c r="BI61" s="46" t="s">
        <v>568</v>
      </c>
      <c r="BJ61" s="46" t="s">
        <v>148</v>
      </c>
      <c r="BK61" s="46" t="s">
        <v>180</v>
      </c>
      <c r="BL61" s="46" t="s">
        <v>172</v>
      </c>
      <c r="BM61" s="47" t="s">
        <v>592</v>
      </c>
      <c r="BN61" s="46" t="s">
        <v>593</v>
      </c>
      <c r="BO61" s="46"/>
      <c r="BP61" s="48" t="str">
        <f t="shared" si="16"/>
        <v xml:space="preserve">622 Rozvoj ERDF PN ZV KA1 DA1.4 </v>
      </c>
      <c r="BQ61" s="49" t="s">
        <v>157</v>
      </c>
      <c r="BR61" s="49"/>
      <c r="BS61" s="49"/>
      <c r="BT61" s="49"/>
      <c r="BU61" s="49"/>
      <c r="BV61" s="49"/>
      <c r="BW61" s="49"/>
      <c r="BX61" s="49"/>
      <c r="BY61" s="49"/>
      <c r="BZ61" s="50">
        <v>1</v>
      </c>
      <c r="CA61" s="50"/>
      <c r="CB61" s="50"/>
      <c r="CC61" s="50"/>
      <c r="CD61" s="50"/>
      <c r="CE61" s="50"/>
      <c r="CF61" s="50">
        <v>1</v>
      </c>
      <c r="CG61" s="50"/>
      <c r="CH61" s="50"/>
      <c r="CI61" s="46" t="str">
        <f>VLOOKUP(BK61,[2]ZDROJ!$A$2:$C$20,2,0)</f>
        <v>102020</v>
      </c>
      <c r="CJ61" s="46" t="s">
        <v>182</v>
      </c>
      <c r="CK61" s="54" t="s">
        <v>570</v>
      </c>
      <c r="CL61" s="46" t="s">
        <v>571</v>
      </c>
      <c r="CM61" s="46" t="s">
        <v>572</v>
      </c>
      <c r="CN61" s="55"/>
      <c r="CO61" s="55"/>
      <c r="CQ61" s="15" t="s">
        <v>594</v>
      </c>
      <c r="CR61" s="15" t="s">
        <v>247</v>
      </c>
    </row>
    <row r="62" spans="11:96" ht="17.25" customHeight="1" x14ac:dyDescent="0.25">
      <c r="K62" s="70" t="s">
        <v>303</v>
      </c>
      <c r="L62" s="71">
        <f>L33</f>
        <v>28000</v>
      </c>
      <c r="M62" s="71">
        <f t="shared" si="21"/>
        <v>195.3488372093023</v>
      </c>
      <c r="N62" s="68" t="str">
        <f t="shared" si="21"/>
        <v xml:space="preserve">K jeho základním povinnostem patří:
• zajištění realizace výběrového řízení, pokud je pro projekt vyžadována dodávka externím dodavatelem;
• plánování a koordinace včasné přípravy obsahu plánovaných veřejných zakázek projektu;
• zabezpečení realizační stránky plánovaných veřejných zakázek projektu.
• úzká spolupráce s Projektovým a finančním manažerem projektu, kterému je povinen řádně a včas zajistit potřebné podklady pro monitorování projektu ve vztahu k poskytovateli dotace.
</v>
      </c>
      <c r="BB62" s="43">
        <f t="shared" si="2"/>
        <v>0</v>
      </c>
      <c r="BC62" s="43" t="str">
        <f>IF(([1]Dotazník!$L$10=ZDROJE!BM62)*AND([1]Dotazník!$AB$20=ZDROJE!BK62)*AND([1]Dotazník!$AB$21=ZDROJE!BJ62),ZDROJE!BP62,"chyba")</f>
        <v>chyba</v>
      </c>
      <c r="BD62" s="43">
        <f t="shared" si="3"/>
        <v>0</v>
      </c>
      <c r="BE62" s="43" t="str">
        <f>IF(([1]Dotazník!$L$10=ZDROJE!BM62)*AND([1]Dotazník!$AB$20=ZDROJE!BK62)*AND([1]Dotazník!$AB$21=ZDROJE!BJ62),ZDROJE!CI62,"chyba")</f>
        <v>chyba</v>
      </c>
      <c r="BF62" s="45" t="s">
        <v>595</v>
      </c>
      <c r="BG62" s="46">
        <v>622</v>
      </c>
      <c r="BH62" s="46" t="s">
        <v>191</v>
      </c>
      <c r="BI62" s="46" t="s">
        <v>568</v>
      </c>
      <c r="BJ62" s="46" t="s">
        <v>148</v>
      </c>
      <c r="BK62" s="46" t="s">
        <v>217</v>
      </c>
      <c r="BL62" s="46" t="s">
        <v>172</v>
      </c>
      <c r="BM62" s="47" t="s">
        <v>592</v>
      </c>
      <c r="BN62" s="46" t="s">
        <v>593</v>
      </c>
      <c r="BO62" s="46"/>
      <c r="BP62" s="48" t="str">
        <f t="shared" si="16"/>
        <v xml:space="preserve">622 Rozvoj ERDF PN NV KA1 DA1.4 </v>
      </c>
      <c r="BQ62" s="49" t="s">
        <v>157</v>
      </c>
      <c r="BR62" s="49"/>
      <c r="BS62" s="49"/>
      <c r="BT62" s="49"/>
      <c r="BU62" s="49"/>
      <c r="BV62" s="49"/>
      <c r="BW62" s="49"/>
      <c r="BX62" s="49"/>
      <c r="BY62" s="49"/>
      <c r="BZ62" s="50">
        <v>1</v>
      </c>
      <c r="CA62" s="50"/>
      <c r="CB62" s="50"/>
      <c r="CC62" s="50"/>
      <c r="CD62" s="50"/>
      <c r="CE62" s="50"/>
      <c r="CF62" s="50">
        <v>1</v>
      </c>
      <c r="CG62" s="50"/>
      <c r="CH62" s="50"/>
      <c r="CI62" s="46" t="str">
        <f>VLOOKUP(BK62,[2]ZDROJ!$A$2:$C$20,2,0)</f>
        <v>102031</v>
      </c>
      <c r="CJ62" s="46" t="s">
        <v>182</v>
      </c>
      <c r="CK62" s="54" t="s">
        <v>570</v>
      </c>
      <c r="CL62" s="46" t="s">
        <v>571</v>
      </c>
      <c r="CM62" s="46" t="s">
        <v>572</v>
      </c>
      <c r="CN62" s="55"/>
      <c r="CO62" s="55"/>
      <c r="CQ62" s="15" t="s">
        <v>596</v>
      </c>
      <c r="CR62" s="15" t="s">
        <v>247</v>
      </c>
    </row>
    <row r="63" spans="11:96" ht="17.25" customHeight="1" x14ac:dyDescent="0.25">
      <c r="K63" s="70" t="s">
        <v>323</v>
      </c>
      <c r="L63" s="71">
        <f>L30</f>
        <v>41000</v>
      </c>
      <c r="M63" s="71">
        <f t="shared" ref="M63:N64" si="22">M30</f>
        <v>286.04651162790697</v>
      </c>
      <c r="N63" s="68" t="str">
        <f t="shared" si="22"/>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63" s="43">
        <f t="shared" si="2"/>
        <v>0</v>
      </c>
      <c r="BC63" s="43" t="str">
        <f>IF(([1]Dotazník!$L$10=ZDROJE!BM63)*AND([1]Dotazník!$AB$20=ZDROJE!BK63)*AND([1]Dotazník!$AB$21=ZDROJE!BJ63),ZDROJE!BP63,"chyba")</f>
        <v>chyba</v>
      </c>
      <c r="BD63" s="43">
        <f t="shared" si="3"/>
        <v>0</v>
      </c>
      <c r="BE63" s="43" t="str">
        <f>IF(([1]Dotazník!$L$10=ZDROJE!BM63)*AND([1]Dotazník!$AB$20=ZDROJE!BK63)*AND([1]Dotazník!$AB$21=ZDROJE!BJ63),ZDROJE!CI63,"chyba")</f>
        <v>chyba</v>
      </c>
      <c r="BF63" s="45" t="s">
        <v>597</v>
      </c>
      <c r="BG63" s="46">
        <v>622</v>
      </c>
      <c r="BH63" s="46" t="s">
        <v>191</v>
      </c>
      <c r="BI63" s="46" t="s">
        <v>568</v>
      </c>
      <c r="BJ63" s="46" t="s">
        <v>148</v>
      </c>
      <c r="BK63" s="46" t="s">
        <v>180</v>
      </c>
      <c r="BL63" s="46" t="s">
        <v>172</v>
      </c>
      <c r="BM63" s="47" t="s">
        <v>598</v>
      </c>
      <c r="BN63" s="46" t="s">
        <v>599</v>
      </c>
      <c r="BO63" s="46"/>
      <c r="BP63" s="48" t="str">
        <f t="shared" si="16"/>
        <v xml:space="preserve">622 Rozvoj ERDF PN ZV KA1 DA1.5 </v>
      </c>
      <c r="BQ63" s="49" t="s">
        <v>157</v>
      </c>
      <c r="BR63" s="49"/>
      <c r="BS63" s="49"/>
      <c r="BT63" s="49"/>
      <c r="BU63" s="49"/>
      <c r="BV63" s="49"/>
      <c r="BW63" s="49"/>
      <c r="BX63" s="49"/>
      <c r="BY63" s="49"/>
      <c r="BZ63" s="50">
        <v>1</v>
      </c>
      <c r="CA63" s="50"/>
      <c r="CB63" s="50"/>
      <c r="CC63" s="50"/>
      <c r="CD63" s="50"/>
      <c r="CE63" s="50"/>
      <c r="CF63" s="50"/>
      <c r="CG63" s="50"/>
      <c r="CH63" s="50">
        <v>1</v>
      </c>
      <c r="CI63" s="46" t="str">
        <f>VLOOKUP(BK63,[2]ZDROJ!$A$2:$C$20,2,0)</f>
        <v>102020</v>
      </c>
      <c r="CJ63" s="46" t="s">
        <v>182</v>
      </c>
      <c r="CK63" s="54" t="s">
        <v>570</v>
      </c>
      <c r="CL63" s="46" t="s">
        <v>571</v>
      </c>
      <c r="CM63" s="46" t="s">
        <v>572</v>
      </c>
      <c r="CN63" s="55"/>
      <c r="CO63" s="55"/>
    </row>
    <row r="64" spans="11:96" ht="17.25" customHeight="1" x14ac:dyDescent="0.25">
      <c r="K64" s="70" t="s">
        <v>341</v>
      </c>
      <c r="L64" s="71">
        <f>L31</f>
        <v>35000</v>
      </c>
      <c r="M64" s="71">
        <f t="shared" si="22"/>
        <v>244.18604651162789</v>
      </c>
      <c r="N64" s="68" t="str">
        <f t="shared" si="22"/>
        <v>Zajišťuje průběžnou kontrolu kvality plnění cílů a výstupů aktivit projektu, díky níž se předchází potenciálním problémům při realizaci projektu. Navrhuje nápravná opatření v případě odchylek od definovaného průběhu realizace projektu a zajišťuje jejich implementaci do projektu. Náplní jeho práce je dohled nad vytvořením výstupů projektu, které odpovídají požadavkům projektu jako celku i cílové skupiny uživatelů.
Je zodpovědný za formální kvalitu výstupů projektu za přidělenou univerzitní součást (nejčastěji fakultu). Náplní jeho práce je dohled nad vytvořením výstupů projektu, které odpovídají formálním požadavkům na výstupy projektu. Vykonává dohled projektu tím, že provádí plošný monitoring dodržování kvality na všech úrovních realizace projektu za přidělenou součást JU.
Kontroluje ostatní členy odborného týmu vždy za oblast jejich odpovědnosti, a to s cílem přispět k úspěchu projektu, nikoliv s cílem projekt poškodit. Poskytuje tedy „druhý nezávislý pohled“, který slouží jako podklad pro rozhodování realizačního týmu a umožňuje včasnou identifikaci a eliminaci rizik (Pro dosažení odpovídající kvality výstupu projektu je zásadní správné nastavení metrik a milníků stejně jako jejich pravidelná a důsledná kontrola). 
K jeho základním povinnostem patří:
• zodpovědnost za formální kvalitu projektu (výstupů projektu);
• zajištění průběžné kontroly formální kvality plnění cílů projektu a dílčích výstupů projektu;
• uplatňování adekvátních testovacích, inspekčních a přezkumných akceptačních aktivit, které byly definovány plánem projektu a od něho odvozenými projektovými dokumenty;
• zajištění přenosu systému řízení kvality projektu směrem k ostatním projektovým rolím;
• kontrolu dodržování postupů práce s formalizovanými dokumenty a správné užívání všech formulářů a standardů;
• podpora zajištění uskutečnění předmětu veřejné zakázky vč. přípravy specifikace a následně smlouvy s případným dodavatelem vč. dohledu nad plněním případného dodavatele;
Zabezpečuje přenos projektové dokumentace mezi Odborným a realizačním týmem projektu v působnosti přidělené univerzitní součásti (nejčastěji fakulty)</v>
      </c>
      <c r="BB64" s="43">
        <f t="shared" si="2"/>
        <v>0</v>
      </c>
      <c r="BC64" s="43" t="str">
        <f>IF(([1]Dotazník!$L$10=ZDROJE!BM64)*AND([1]Dotazník!$AB$20=ZDROJE!BK64)*AND([1]Dotazník!$AB$21=ZDROJE!BJ64),ZDROJE!BP64,"chyba")</f>
        <v>chyba</v>
      </c>
      <c r="BD64" s="43">
        <f t="shared" si="3"/>
        <v>0</v>
      </c>
      <c r="BE64" s="43" t="str">
        <f>IF(([1]Dotazník!$L$10=ZDROJE!BM64)*AND([1]Dotazník!$AB$20=ZDROJE!BK64)*AND([1]Dotazník!$AB$21=ZDROJE!BJ64),ZDROJE!CI64,"chyba")</f>
        <v>chyba</v>
      </c>
      <c r="BF64" s="45" t="s">
        <v>600</v>
      </c>
      <c r="BG64" s="46">
        <v>622</v>
      </c>
      <c r="BH64" s="46" t="s">
        <v>191</v>
      </c>
      <c r="BI64" s="46" t="s">
        <v>568</v>
      </c>
      <c r="BJ64" s="46" t="s">
        <v>148</v>
      </c>
      <c r="BK64" s="46" t="s">
        <v>217</v>
      </c>
      <c r="BL64" s="46" t="s">
        <v>172</v>
      </c>
      <c r="BM64" s="47" t="s">
        <v>598</v>
      </c>
      <c r="BN64" s="46" t="s">
        <v>599</v>
      </c>
      <c r="BO64" s="46"/>
      <c r="BP64" s="48" t="str">
        <f t="shared" si="16"/>
        <v xml:space="preserve">622 Rozvoj ERDF PN NV KA1 DA1.5 </v>
      </c>
      <c r="BQ64" s="49" t="s">
        <v>157</v>
      </c>
      <c r="BR64" s="49"/>
      <c r="BS64" s="49"/>
      <c r="BT64" s="49"/>
      <c r="BU64" s="49"/>
      <c r="BV64" s="49"/>
      <c r="BW64" s="49"/>
      <c r="BX64" s="49"/>
      <c r="BY64" s="49"/>
      <c r="BZ64" s="50">
        <v>1</v>
      </c>
      <c r="CA64" s="50"/>
      <c r="CB64" s="50"/>
      <c r="CC64" s="50"/>
      <c r="CD64" s="50"/>
      <c r="CE64" s="50"/>
      <c r="CF64" s="50"/>
      <c r="CG64" s="50"/>
      <c r="CH64" s="50">
        <v>1</v>
      </c>
      <c r="CI64" s="46" t="str">
        <f>VLOOKUP(BK64,[2]ZDROJ!$A$2:$C$20,2,0)</f>
        <v>102031</v>
      </c>
      <c r="CJ64" s="46" t="s">
        <v>182</v>
      </c>
      <c r="CK64" s="54" t="s">
        <v>570</v>
      </c>
      <c r="CL64" s="46" t="s">
        <v>571</v>
      </c>
      <c r="CM64" s="46" t="s">
        <v>572</v>
      </c>
      <c r="CN64" s="55"/>
      <c r="CO64" s="55"/>
    </row>
    <row r="65" spans="11:92" ht="17.25" customHeight="1" x14ac:dyDescent="0.25">
      <c r="K65" s="70" t="s">
        <v>301</v>
      </c>
      <c r="L65" s="71">
        <f>L37</f>
        <v>23000</v>
      </c>
      <c r="M65" s="71">
        <f t="shared" ref="M65:N65" si="23">M37</f>
        <v>160.46511627906975</v>
      </c>
      <c r="N65" s="68" t="str">
        <f t="shared" si="23"/>
        <v xml:space="preserve">K základním povinnostem pozice patří:
• poskytování administrativní podpory odbornému/realizačnímu týmu. 
• vedení a správa dokumentace projektu vč. její archivace;
• distribuce jednotlivých verzí relevantních dokumentů projektu;
• kontrola plnění plánovaných i operativních administrativních úkonů vyplývajících z harmonogramu projektu a ze zápisů z porad;
• organizace porad podle projektového plánu a členů týmů;
• druhotná kontrola dodržování postupů práce s formalizovanými dokumenty a správné užívání všech formulářů a standardů;
úzká spolupráce s Projektovým a finančním manažerem projektu, kterému je povinen řádně a včas zajistit potřebné podklady pro monitorování projektu ve vztahu k poskytovateli dotace.
</v>
      </c>
      <c r="BB65" s="43">
        <f t="shared" si="2"/>
        <v>0</v>
      </c>
      <c r="BC65" s="43" t="str">
        <f>IF(([1]Dotazník!$L$10=ZDROJE!BM65)*AND([1]Dotazník!$AB$20=ZDROJE!BK65)*AND([1]Dotazník!$AB$21=ZDROJE!BJ65),ZDROJE!BP65,"chyba")</f>
        <v>chyba</v>
      </c>
      <c r="BD65" s="43">
        <f t="shared" si="3"/>
        <v>0</v>
      </c>
      <c r="BE65" s="43" t="str">
        <f>IF(([1]Dotazník!$L$10=ZDROJE!BM65)*AND([1]Dotazník!$AB$20=ZDROJE!BK65)*AND([1]Dotazník!$AB$21=ZDROJE!BJ65),ZDROJE!CI65,"chyba")</f>
        <v>chyba</v>
      </c>
      <c r="BF65" s="45" t="s">
        <v>601</v>
      </c>
      <c r="BG65" s="46">
        <v>622</v>
      </c>
      <c r="BH65" s="46" t="s">
        <v>191</v>
      </c>
      <c r="BI65" s="46" t="s">
        <v>568</v>
      </c>
      <c r="BJ65" s="46" t="s">
        <v>148</v>
      </c>
      <c r="BK65" s="46" t="s">
        <v>180</v>
      </c>
      <c r="BL65" s="46" t="s">
        <v>241</v>
      </c>
      <c r="BM65" s="47" t="s">
        <v>602</v>
      </c>
      <c r="BN65" s="46" t="s">
        <v>603</v>
      </c>
      <c r="BO65" s="46"/>
      <c r="BP65" s="48" t="str">
        <f t="shared" si="16"/>
        <v xml:space="preserve">622 Rozvoj ERDF PN ZV KA2 DA2.0 </v>
      </c>
      <c r="BQ65" s="49" t="s">
        <v>157</v>
      </c>
      <c r="BR65" s="49"/>
      <c r="BS65" s="49"/>
      <c r="BT65" s="49"/>
      <c r="BU65" s="49"/>
      <c r="BV65" s="49"/>
      <c r="BW65" s="49"/>
      <c r="BX65" s="49"/>
      <c r="BY65" s="49"/>
      <c r="BZ65" s="50">
        <v>1</v>
      </c>
      <c r="CA65" s="50"/>
      <c r="CB65" s="50"/>
      <c r="CC65" s="50"/>
      <c r="CD65" s="50"/>
      <c r="CE65" s="50"/>
      <c r="CF65" s="50"/>
      <c r="CG65" s="50"/>
      <c r="CH65" s="50"/>
      <c r="CI65" s="46" t="str">
        <f>VLOOKUP(BK65,[2]ZDROJ!$A$2:$C$20,2,0)</f>
        <v>102020</v>
      </c>
      <c r="CJ65" s="46" t="s">
        <v>182</v>
      </c>
      <c r="CK65" s="54" t="s">
        <v>570</v>
      </c>
      <c r="CL65" s="46" t="s">
        <v>571</v>
      </c>
      <c r="CM65" s="46" t="s">
        <v>572</v>
      </c>
    </row>
    <row r="66" spans="11:92" ht="17.25" customHeight="1" x14ac:dyDescent="0.25">
      <c r="BB66" s="43">
        <f t="shared" si="2"/>
        <v>0</v>
      </c>
      <c r="BC66" s="43" t="str">
        <f>IF(([1]Dotazník!$L$10=ZDROJE!BM66)*AND([1]Dotazník!$AB$20=ZDROJE!BK66)*AND([1]Dotazník!$AB$21=ZDROJE!BJ66),ZDROJE!BP66,"chyba")</f>
        <v>chyba</v>
      </c>
      <c r="BD66" s="43">
        <f t="shared" si="3"/>
        <v>0</v>
      </c>
      <c r="BE66" s="43" t="str">
        <f>IF(([1]Dotazník!$L$10=ZDROJE!BM66)*AND([1]Dotazník!$AB$20=ZDROJE!BK66)*AND([1]Dotazník!$AB$21=ZDROJE!BJ66),ZDROJE!CI66,"chyba")</f>
        <v>chyba</v>
      </c>
      <c r="BF66" s="45" t="s">
        <v>604</v>
      </c>
      <c r="BG66" s="46">
        <v>622</v>
      </c>
      <c r="BH66" s="46" t="s">
        <v>191</v>
      </c>
      <c r="BI66" s="46" t="s">
        <v>568</v>
      </c>
      <c r="BJ66" s="46" t="s">
        <v>148</v>
      </c>
      <c r="BK66" s="46" t="s">
        <v>217</v>
      </c>
      <c r="BL66" s="46" t="s">
        <v>241</v>
      </c>
      <c r="BM66" s="47" t="s">
        <v>602</v>
      </c>
      <c r="BN66" s="46" t="s">
        <v>603</v>
      </c>
      <c r="BO66" s="46"/>
      <c r="BP66" s="48" t="str">
        <f t="shared" si="16"/>
        <v xml:space="preserve">622 Rozvoj ERDF PN NV KA2 DA2.0 </v>
      </c>
      <c r="BQ66" s="49" t="s">
        <v>157</v>
      </c>
      <c r="BR66" s="49"/>
      <c r="BS66" s="49"/>
      <c r="BT66" s="49"/>
      <c r="BU66" s="49"/>
      <c r="BV66" s="49"/>
      <c r="BW66" s="49"/>
      <c r="BX66" s="49"/>
      <c r="BY66" s="49"/>
      <c r="BZ66" s="50">
        <v>1</v>
      </c>
      <c r="CA66" s="50"/>
      <c r="CB66" s="50"/>
      <c r="CC66" s="50"/>
      <c r="CD66" s="50"/>
      <c r="CE66" s="50"/>
      <c r="CF66" s="50"/>
      <c r="CG66" s="50"/>
      <c r="CH66" s="50"/>
      <c r="CI66" s="46" t="str">
        <f>VLOOKUP(BK66,[2]ZDROJ!$A$2:$C$20,2,0)</f>
        <v>102031</v>
      </c>
      <c r="CJ66" s="46" t="s">
        <v>182</v>
      </c>
      <c r="CK66" s="54" t="s">
        <v>570</v>
      </c>
      <c r="CL66" s="46" t="s">
        <v>571</v>
      </c>
      <c r="CM66" s="46" t="s">
        <v>572</v>
      </c>
    </row>
    <row r="67" spans="11:92" ht="17.25" customHeight="1" x14ac:dyDescent="0.25">
      <c r="BB67" s="43">
        <f t="shared" si="2"/>
        <v>1</v>
      </c>
      <c r="BC67" s="43" t="str">
        <f>IF(([1]Dotazník!$L$10=ZDROJE!BM67)*AND([1]Dotazník!$AB$20=ZDROJE!BK67)*AND([1]Dotazník!$AB$21=ZDROJE!BJ67),ZDROJE!BP67,"chyba")</f>
        <v>622 Rozvoj ERDF PN ZV KA3 DA3.0</v>
      </c>
      <c r="BD67" s="43">
        <f t="shared" si="3"/>
        <v>1</v>
      </c>
      <c r="BE67" s="43" t="str">
        <f>IF(([1]Dotazník!$L$10=ZDROJE!BM67)*AND([1]Dotazník!$AB$20=ZDROJE!BK67)*AND([1]Dotazník!$AB$21=ZDROJE!BJ67),ZDROJE!CI67,"chyba")</f>
        <v>102020</v>
      </c>
      <c r="BF67" s="45" t="s">
        <v>605</v>
      </c>
      <c r="BG67" s="46">
        <v>622</v>
      </c>
      <c r="BH67" s="46" t="s">
        <v>191</v>
      </c>
      <c r="BI67" s="46" t="s">
        <v>568</v>
      </c>
      <c r="BJ67" s="46" t="s">
        <v>148</v>
      </c>
      <c r="BK67" s="46" t="s">
        <v>180</v>
      </c>
      <c r="BL67" s="46" t="s">
        <v>175</v>
      </c>
      <c r="BM67" s="47" t="s">
        <v>174</v>
      </c>
      <c r="BN67" s="46" t="s">
        <v>176</v>
      </c>
      <c r="BO67" s="74" t="s">
        <v>132</v>
      </c>
      <c r="BP67" s="48" t="str">
        <f>CONCATENATE(BG67," ",BI67," ",BJ67," ",BK67," ",BL67," ",BN67)</f>
        <v>622 Rozvoj ERDF PN ZV KA3 DA3.0</v>
      </c>
      <c r="BQ67" s="49" t="s">
        <v>157</v>
      </c>
      <c r="BR67" s="49"/>
      <c r="BS67" s="49"/>
      <c r="BT67" s="49"/>
      <c r="BU67" s="49"/>
      <c r="BV67" s="49"/>
      <c r="BW67" s="49"/>
      <c r="BX67" s="49"/>
      <c r="BY67" s="49"/>
      <c r="BZ67" s="50">
        <v>1</v>
      </c>
      <c r="CA67" s="50"/>
      <c r="CB67" s="50"/>
      <c r="CC67" s="50"/>
      <c r="CD67" s="50"/>
      <c r="CE67" s="50"/>
      <c r="CF67" s="50"/>
      <c r="CG67" s="50"/>
      <c r="CH67" s="50"/>
      <c r="CI67" s="46" t="str">
        <f>VLOOKUP(BK67,[2]ZDROJ!$A$2:$C$20,2,0)</f>
        <v>102020</v>
      </c>
      <c r="CJ67" s="46" t="s">
        <v>182</v>
      </c>
      <c r="CK67" s="54" t="s">
        <v>570</v>
      </c>
      <c r="CL67" s="46" t="s">
        <v>571</v>
      </c>
      <c r="CM67" s="46" t="s">
        <v>572</v>
      </c>
    </row>
    <row r="68" spans="11:92" ht="17.25" customHeight="1" x14ac:dyDescent="0.25">
      <c r="BB68" s="43">
        <f t="shared" ref="BB68:BB91" si="24">IF(BC68="chyba",0,1)</f>
        <v>1</v>
      </c>
      <c r="BC68" s="43" t="str">
        <f>IF(([1]Dotazník!$L$10=ZDROJE!BM68)*AND([1]Dotazník!$AB$20=ZDROJE!BK68)*AND([1]Dotazník!$AB$21=ZDROJE!BJ68),ZDROJE!BP68,"chyba")</f>
        <v>622 Rozvoj ERDF PN ZV KA3 DA3.0</v>
      </c>
      <c r="BD68" s="43">
        <f t="shared" ref="BD68:BD91" si="25">IF(BE68="chyba",0,1)</f>
        <v>1</v>
      </c>
      <c r="BE68" s="43" t="str">
        <f>IF(([1]Dotazník!$L$10=ZDROJE!BM68)*AND([1]Dotazník!$AB$20=ZDROJE!BK68)*AND([1]Dotazník!$AB$21=ZDROJE!BJ68),ZDROJE!CI68,"chyba")</f>
        <v>102020</v>
      </c>
      <c r="BF68" s="75" t="s">
        <v>605</v>
      </c>
      <c r="BG68" s="74">
        <v>622</v>
      </c>
      <c r="BH68" s="74" t="s">
        <v>191</v>
      </c>
      <c r="BI68" s="74" t="s">
        <v>568</v>
      </c>
      <c r="BJ68" s="74" t="s">
        <v>148</v>
      </c>
      <c r="BK68" s="74" t="s">
        <v>180</v>
      </c>
      <c r="BL68" s="74" t="s">
        <v>175</v>
      </c>
      <c r="BM68" s="74" t="s">
        <v>174</v>
      </c>
      <c r="BN68" s="74" t="s">
        <v>176</v>
      </c>
      <c r="BO68" s="74" t="s">
        <v>124</v>
      </c>
      <c r="BP68" s="76" t="str">
        <f t="shared" ref="BP68:BP72" si="26">CONCATENATE(BG68," ",BI68," ",BJ68," ",BK68," ",BL68," ",BN68)</f>
        <v>622 Rozvoj ERDF PN ZV KA3 DA3.0</v>
      </c>
      <c r="BQ68" s="77" t="s">
        <v>157</v>
      </c>
      <c r="BR68" s="77"/>
      <c r="BS68" s="77"/>
      <c r="BT68" s="77"/>
      <c r="BU68" s="77"/>
      <c r="BV68" s="77"/>
      <c r="BW68" s="77"/>
      <c r="BX68" s="77"/>
      <c r="BY68" s="77"/>
      <c r="BZ68" s="78">
        <v>1</v>
      </c>
      <c r="CA68" s="78"/>
      <c r="CB68" s="78"/>
      <c r="CC68" s="78"/>
      <c r="CD68" s="78"/>
      <c r="CE68" s="78"/>
      <c r="CF68" s="78"/>
      <c r="CG68" s="78"/>
      <c r="CH68" s="78"/>
      <c r="CI68" s="74" t="str">
        <f>VLOOKUP(BK68,[2]ZDROJ!$A$2:$C$20,2,0)</f>
        <v>102020</v>
      </c>
      <c r="CJ68" s="74" t="s">
        <v>182</v>
      </c>
      <c r="CK68" s="79" t="s">
        <v>570</v>
      </c>
      <c r="CL68" s="74" t="s">
        <v>571</v>
      </c>
      <c r="CM68" s="74" t="s">
        <v>572</v>
      </c>
      <c r="CN68" s="80"/>
    </row>
    <row r="69" spans="11:92" ht="17.25" customHeight="1" x14ac:dyDescent="0.25">
      <c r="BB69" s="43">
        <f t="shared" si="24"/>
        <v>1</v>
      </c>
      <c r="BC69" s="43" t="str">
        <f>IF(([1]Dotazník!$L$10=ZDROJE!BM69)*AND([1]Dotazník!$AB$20=ZDROJE!BK69)*AND([1]Dotazník!$AB$21=ZDROJE!BJ69),ZDROJE!BP69,"chyba")</f>
        <v>622 Rozvoj ERDF PN ZV KA3 DA3.0</v>
      </c>
      <c r="BD69" s="43">
        <f t="shared" si="25"/>
        <v>1</v>
      </c>
      <c r="BE69" s="43" t="str">
        <f>IF(([1]Dotazník!$L$10=ZDROJE!BM69)*AND([1]Dotazník!$AB$20=ZDROJE!BK69)*AND([1]Dotazník!$AB$21=ZDROJE!BJ69),ZDROJE!CI69,"chyba")</f>
        <v>102020</v>
      </c>
      <c r="BF69" s="75" t="s">
        <v>605</v>
      </c>
      <c r="BG69" s="74">
        <v>622</v>
      </c>
      <c r="BH69" s="74" t="s">
        <v>191</v>
      </c>
      <c r="BI69" s="74" t="s">
        <v>568</v>
      </c>
      <c r="BJ69" s="74" t="s">
        <v>148</v>
      </c>
      <c r="BK69" s="74" t="s">
        <v>180</v>
      </c>
      <c r="BL69" s="74" t="s">
        <v>175</v>
      </c>
      <c r="BM69" s="74" t="s">
        <v>174</v>
      </c>
      <c r="BN69" s="74" t="s">
        <v>176</v>
      </c>
      <c r="BO69" s="74" t="s">
        <v>125</v>
      </c>
      <c r="BP69" s="76" t="str">
        <f t="shared" si="26"/>
        <v>622 Rozvoj ERDF PN ZV KA3 DA3.0</v>
      </c>
      <c r="BQ69" s="77" t="s">
        <v>157</v>
      </c>
      <c r="BR69" s="77"/>
      <c r="BS69" s="77"/>
      <c r="BT69" s="77"/>
      <c r="BU69" s="77"/>
      <c r="BV69" s="77"/>
      <c r="BW69" s="77"/>
      <c r="BX69" s="77"/>
      <c r="BY69" s="77"/>
      <c r="BZ69" s="78">
        <v>1</v>
      </c>
      <c r="CA69" s="78"/>
      <c r="CB69" s="78"/>
      <c r="CC69" s="78"/>
      <c r="CD69" s="78"/>
      <c r="CE69" s="78"/>
      <c r="CF69" s="78"/>
      <c r="CG69" s="78"/>
      <c r="CH69" s="78"/>
      <c r="CI69" s="74" t="str">
        <f>VLOOKUP(BK69,[2]ZDROJ!$A$2:$C$20,2,0)</f>
        <v>102020</v>
      </c>
      <c r="CJ69" s="74" t="s">
        <v>182</v>
      </c>
      <c r="CK69" s="79" t="s">
        <v>570</v>
      </c>
      <c r="CL69" s="74" t="s">
        <v>571</v>
      </c>
      <c r="CM69" s="74" t="s">
        <v>572</v>
      </c>
      <c r="CN69" s="80"/>
    </row>
    <row r="70" spans="11:92" ht="17.25" customHeight="1" x14ac:dyDescent="0.25">
      <c r="BB70" s="43">
        <f t="shared" si="24"/>
        <v>1</v>
      </c>
      <c r="BC70" s="43" t="str">
        <f>IF(([1]Dotazník!$L$10=ZDROJE!BM70)*AND([1]Dotazník!$AB$20=ZDROJE!BK70)*AND([1]Dotazník!$AB$21=ZDROJE!BJ70),ZDROJE!BP70,"chyba")</f>
        <v>622 Rozvoj ERDF PN ZV KA3 DA3.0</v>
      </c>
      <c r="BD70" s="43">
        <f t="shared" si="25"/>
        <v>1</v>
      </c>
      <c r="BE70" s="43" t="str">
        <f>IF(([1]Dotazník!$L$10=ZDROJE!BM70)*AND([1]Dotazník!$AB$20=ZDROJE!BK70)*AND([1]Dotazník!$AB$21=ZDROJE!BJ70),ZDROJE!CI70,"chyba")</f>
        <v>102020</v>
      </c>
      <c r="BF70" s="75" t="s">
        <v>605</v>
      </c>
      <c r="BG70" s="74">
        <v>622</v>
      </c>
      <c r="BH70" s="74" t="s">
        <v>191</v>
      </c>
      <c r="BI70" s="74" t="s">
        <v>568</v>
      </c>
      <c r="BJ70" s="74" t="s">
        <v>148</v>
      </c>
      <c r="BK70" s="74" t="s">
        <v>180</v>
      </c>
      <c r="BL70" s="74" t="s">
        <v>175</v>
      </c>
      <c r="BM70" s="74" t="s">
        <v>174</v>
      </c>
      <c r="BN70" s="74" t="s">
        <v>176</v>
      </c>
      <c r="BO70" s="74" t="s">
        <v>126</v>
      </c>
      <c r="BP70" s="76" t="str">
        <f t="shared" si="26"/>
        <v>622 Rozvoj ERDF PN ZV KA3 DA3.0</v>
      </c>
      <c r="BQ70" s="77" t="s">
        <v>157</v>
      </c>
      <c r="BR70" s="77"/>
      <c r="BS70" s="77"/>
      <c r="BT70" s="77"/>
      <c r="BU70" s="77"/>
      <c r="BV70" s="77"/>
      <c r="BW70" s="77"/>
      <c r="BX70" s="77"/>
      <c r="BY70" s="77"/>
      <c r="BZ70" s="78">
        <v>1</v>
      </c>
      <c r="CA70" s="78"/>
      <c r="CB70" s="78"/>
      <c r="CC70" s="78"/>
      <c r="CD70" s="78"/>
      <c r="CE70" s="78"/>
      <c r="CF70" s="78"/>
      <c r="CG70" s="78"/>
      <c r="CH70" s="78"/>
      <c r="CI70" s="74" t="str">
        <f>VLOOKUP(BK70,[2]ZDROJ!$A$2:$C$20,2,0)</f>
        <v>102020</v>
      </c>
      <c r="CJ70" s="74" t="s">
        <v>182</v>
      </c>
      <c r="CK70" s="79" t="s">
        <v>570</v>
      </c>
      <c r="CL70" s="74" t="s">
        <v>571</v>
      </c>
      <c r="CM70" s="74" t="s">
        <v>572</v>
      </c>
      <c r="CN70" s="80"/>
    </row>
    <row r="71" spans="11:92" ht="17.25" customHeight="1" x14ac:dyDescent="0.25">
      <c r="BB71" s="43">
        <f t="shared" si="24"/>
        <v>1</v>
      </c>
      <c r="BC71" s="43" t="str">
        <f>IF(([1]Dotazník!$L$10=ZDROJE!BM71)*AND([1]Dotazník!$AB$20=ZDROJE!BK71)*AND([1]Dotazník!$AB$21=ZDROJE!BJ71),ZDROJE!BP71,"chyba")</f>
        <v>622 Rozvoj ERDF PN ZV KA3 DA3.0</v>
      </c>
      <c r="BD71" s="43">
        <f t="shared" si="25"/>
        <v>1</v>
      </c>
      <c r="BE71" s="43" t="str">
        <f>IF(([1]Dotazník!$L$10=ZDROJE!BM71)*AND([1]Dotazník!$AB$20=ZDROJE!BK71)*AND([1]Dotazník!$AB$21=ZDROJE!BJ71),ZDROJE!CI71,"chyba")</f>
        <v>102020</v>
      </c>
      <c r="BF71" s="75" t="s">
        <v>605</v>
      </c>
      <c r="BG71" s="74">
        <v>622</v>
      </c>
      <c r="BH71" s="74" t="s">
        <v>191</v>
      </c>
      <c r="BI71" s="74" t="s">
        <v>568</v>
      </c>
      <c r="BJ71" s="74" t="s">
        <v>148</v>
      </c>
      <c r="BK71" s="74" t="s">
        <v>180</v>
      </c>
      <c r="BL71" s="74" t="s">
        <v>175</v>
      </c>
      <c r="BM71" s="74" t="s">
        <v>174</v>
      </c>
      <c r="BN71" s="74" t="s">
        <v>176</v>
      </c>
      <c r="BO71" s="74" t="s">
        <v>129</v>
      </c>
      <c r="BP71" s="76" t="str">
        <f t="shared" si="26"/>
        <v>622 Rozvoj ERDF PN ZV KA3 DA3.0</v>
      </c>
      <c r="BQ71" s="77" t="s">
        <v>157</v>
      </c>
      <c r="BR71" s="77"/>
      <c r="BS71" s="77"/>
      <c r="BT71" s="77"/>
      <c r="BU71" s="77"/>
      <c r="BV71" s="77"/>
      <c r="BW71" s="77"/>
      <c r="BX71" s="77"/>
      <c r="BY71" s="77"/>
      <c r="BZ71" s="78">
        <v>1</v>
      </c>
      <c r="CA71" s="78"/>
      <c r="CB71" s="78"/>
      <c r="CC71" s="78"/>
      <c r="CD71" s="78"/>
      <c r="CE71" s="78"/>
      <c r="CF71" s="78"/>
      <c r="CG71" s="78"/>
      <c r="CH71" s="78"/>
      <c r="CI71" s="74" t="str">
        <f>VLOOKUP(BK71,[2]ZDROJ!$A$2:$C$20,2,0)</f>
        <v>102020</v>
      </c>
      <c r="CJ71" s="74" t="s">
        <v>182</v>
      </c>
      <c r="CK71" s="79" t="s">
        <v>570</v>
      </c>
      <c r="CL71" s="74" t="s">
        <v>571</v>
      </c>
      <c r="CM71" s="74" t="s">
        <v>572</v>
      </c>
      <c r="CN71" s="80"/>
    </row>
    <row r="72" spans="11:92" ht="17.25" customHeight="1" x14ac:dyDescent="0.25">
      <c r="BB72" s="43">
        <f t="shared" si="24"/>
        <v>1</v>
      </c>
      <c r="BC72" s="43" t="str">
        <f>IF(([1]Dotazník!$L$10=ZDROJE!BM72)*AND([1]Dotazník!$AB$20=ZDROJE!BK72)*AND([1]Dotazník!$AB$21=ZDROJE!BJ72),ZDROJE!BP72,"chyba")</f>
        <v>622 Rozvoj ERDF PN ZV KA3 DA3.0</v>
      </c>
      <c r="BD72" s="43">
        <f t="shared" si="25"/>
        <v>1</v>
      </c>
      <c r="BE72" s="43" t="str">
        <f>IF(([1]Dotazník!$L$10=ZDROJE!BM72)*AND([1]Dotazník!$AB$20=ZDROJE!BK72)*AND([1]Dotazník!$AB$21=ZDROJE!BJ72),ZDROJE!CI72,"chyba")</f>
        <v>102020</v>
      </c>
      <c r="BF72" s="75" t="s">
        <v>605</v>
      </c>
      <c r="BG72" s="74">
        <v>622</v>
      </c>
      <c r="BH72" s="74" t="s">
        <v>191</v>
      </c>
      <c r="BI72" s="74" t="s">
        <v>568</v>
      </c>
      <c r="BJ72" s="74" t="s">
        <v>148</v>
      </c>
      <c r="BK72" s="74" t="s">
        <v>180</v>
      </c>
      <c r="BL72" s="74" t="s">
        <v>175</v>
      </c>
      <c r="BM72" s="74" t="s">
        <v>174</v>
      </c>
      <c r="BN72" s="74" t="s">
        <v>176</v>
      </c>
      <c r="BO72" s="74" t="s">
        <v>131</v>
      </c>
      <c r="BP72" s="76" t="str">
        <f t="shared" si="26"/>
        <v>622 Rozvoj ERDF PN ZV KA3 DA3.0</v>
      </c>
      <c r="BQ72" s="77" t="s">
        <v>157</v>
      </c>
      <c r="BR72" s="77"/>
      <c r="BS72" s="77"/>
      <c r="BT72" s="77"/>
      <c r="BU72" s="77"/>
      <c r="BV72" s="77"/>
      <c r="BW72" s="77"/>
      <c r="BX72" s="77"/>
      <c r="BY72" s="77"/>
      <c r="BZ72" s="78">
        <v>1</v>
      </c>
      <c r="CA72" s="78"/>
      <c r="CB72" s="78"/>
      <c r="CC72" s="78"/>
      <c r="CD72" s="78"/>
      <c r="CE72" s="78"/>
      <c r="CF72" s="78"/>
      <c r="CG72" s="78"/>
      <c r="CH72" s="78"/>
      <c r="CI72" s="74" t="str">
        <f>VLOOKUP(BK72,[2]ZDROJ!$A$2:$C$20,2,0)</f>
        <v>102020</v>
      </c>
      <c r="CJ72" s="74" t="s">
        <v>182</v>
      </c>
      <c r="CK72" s="79" t="s">
        <v>570</v>
      </c>
      <c r="CL72" s="74" t="s">
        <v>571</v>
      </c>
      <c r="CM72" s="74" t="s">
        <v>572</v>
      </c>
      <c r="CN72" s="80"/>
    </row>
    <row r="73" spans="11:92" ht="17.25" customHeight="1" x14ac:dyDescent="0.25">
      <c r="BB73" s="43">
        <f t="shared" si="24"/>
        <v>0</v>
      </c>
      <c r="BC73" s="43" t="str">
        <f>IF(([1]Dotazník!$L$10=ZDROJE!BM73)*AND([1]Dotazník!$AB$20=ZDROJE!BK73)*AND([1]Dotazník!$AB$21=ZDROJE!BJ73),ZDROJE!BP73,"chyba")</f>
        <v>chyba</v>
      </c>
      <c r="BD73" s="43">
        <f t="shared" si="25"/>
        <v>0</v>
      </c>
      <c r="BE73" s="43" t="str">
        <f>IF(([1]Dotazník!$L$10=ZDROJE!BM73)*AND([1]Dotazník!$AB$20=ZDROJE!BK73)*AND([1]Dotazník!$AB$21=ZDROJE!BJ73),ZDROJE!CI73,"chyba")</f>
        <v>chyba</v>
      </c>
      <c r="BF73" s="45" t="s">
        <v>606</v>
      </c>
      <c r="BG73" s="46">
        <v>622</v>
      </c>
      <c r="BH73" s="46" t="s">
        <v>191</v>
      </c>
      <c r="BI73" s="46" t="s">
        <v>568</v>
      </c>
      <c r="BJ73" s="46" t="s">
        <v>148</v>
      </c>
      <c r="BK73" s="46" t="s">
        <v>217</v>
      </c>
      <c r="BL73" s="46" t="s">
        <v>175</v>
      </c>
      <c r="BM73" s="47" t="s">
        <v>174</v>
      </c>
      <c r="BN73" s="46" t="s">
        <v>176</v>
      </c>
      <c r="BO73" s="46"/>
      <c r="BP73" s="48" t="str">
        <f t="shared" si="16"/>
        <v xml:space="preserve">622 Rozvoj ERDF PN NV KA3 DA3.0 </v>
      </c>
      <c r="BQ73" s="49" t="s">
        <v>157</v>
      </c>
      <c r="BR73" s="49"/>
      <c r="BS73" s="49"/>
      <c r="BT73" s="49"/>
      <c r="BU73" s="49"/>
      <c r="BV73" s="49"/>
      <c r="BW73" s="49"/>
      <c r="BX73" s="49"/>
      <c r="BY73" s="49"/>
      <c r="BZ73" s="50">
        <v>1</v>
      </c>
      <c r="CA73" s="50"/>
      <c r="CB73" s="50"/>
      <c r="CC73" s="50"/>
      <c r="CD73" s="50"/>
      <c r="CE73" s="50"/>
      <c r="CF73" s="50"/>
      <c r="CG73" s="50"/>
      <c r="CH73" s="50"/>
      <c r="CI73" s="46" t="str">
        <f>VLOOKUP(BK73,[2]ZDROJ!$A$2:$C$20,2,0)</f>
        <v>102031</v>
      </c>
      <c r="CJ73" s="46" t="s">
        <v>182</v>
      </c>
      <c r="CK73" s="54" t="s">
        <v>570</v>
      </c>
      <c r="CL73" s="46" t="s">
        <v>571</v>
      </c>
      <c r="CM73" s="46" t="s">
        <v>572</v>
      </c>
    </row>
    <row r="74" spans="11:92" ht="17.25" customHeight="1" x14ac:dyDescent="0.25">
      <c r="BB74" s="43">
        <f t="shared" si="24"/>
        <v>0</v>
      </c>
      <c r="BC74" s="43" t="str">
        <f>IF(([1]Dotazník!$L$10=ZDROJE!BM74)*AND([1]Dotazník!$AB$20=ZDROJE!BK74)*AND([1]Dotazník!$AB$21=ZDROJE!BJ74),ZDROJE!BP74,"chyba")</f>
        <v>chyba</v>
      </c>
      <c r="BD74" s="43">
        <f t="shared" si="25"/>
        <v>0</v>
      </c>
      <c r="BE74" s="43" t="str">
        <f>IF(([1]Dotazník!$L$10=ZDROJE!BM74)*AND([1]Dotazník!$AB$20=ZDROJE!BK74)*AND([1]Dotazník!$AB$21=ZDROJE!BJ74),ZDROJE!CI74,"chyba")</f>
        <v>chyba</v>
      </c>
      <c r="BF74" s="45" t="s">
        <v>607</v>
      </c>
      <c r="BG74" s="46">
        <v>622</v>
      </c>
      <c r="BH74" s="46" t="s">
        <v>191</v>
      </c>
      <c r="BI74" s="46" t="s">
        <v>568</v>
      </c>
      <c r="BJ74" s="46" t="s">
        <v>228</v>
      </c>
      <c r="BK74" s="46" t="s">
        <v>180</v>
      </c>
      <c r="BL74" s="46" t="s">
        <v>175</v>
      </c>
      <c r="BM74" s="47" t="s">
        <v>174</v>
      </c>
      <c r="BN74" s="46" t="s">
        <v>176</v>
      </c>
      <c r="BO74" s="74" t="s">
        <v>132</v>
      </c>
      <c r="BP74" s="48" t="str">
        <f t="shared" si="16"/>
        <v>622 Rozvoj ERDF NN ZV KA3 DA3.0 REK</v>
      </c>
      <c r="BQ74" s="49" t="s">
        <v>157</v>
      </c>
      <c r="BR74" s="49" t="s">
        <v>266</v>
      </c>
      <c r="BS74" s="49" t="s">
        <v>267</v>
      </c>
      <c r="BT74" s="49" t="s">
        <v>256</v>
      </c>
      <c r="BU74" s="49"/>
      <c r="BV74" s="49"/>
      <c r="BW74" s="49" t="s">
        <v>270</v>
      </c>
      <c r="BX74" s="49"/>
      <c r="BY74" s="49" t="s">
        <v>272</v>
      </c>
      <c r="BZ74" s="50">
        <v>1</v>
      </c>
      <c r="CA74" s="50">
        <v>1</v>
      </c>
      <c r="CB74" s="50">
        <v>1</v>
      </c>
      <c r="CC74" s="50">
        <v>1</v>
      </c>
      <c r="CD74" s="50"/>
      <c r="CE74" s="50"/>
      <c r="CF74" s="50">
        <v>1</v>
      </c>
      <c r="CG74" s="50"/>
      <c r="CH74" s="50">
        <v>1</v>
      </c>
      <c r="CI74" s="46" t="str">
        <f>VLOOKUP(BK74,[2]ZDROJ!$A$2:$C$20,2,0)</f>
        <v>102020</v>
      </c>
      <c r="CJ74" s="46" t="s">
        <v>182</v>
      </c>
      <c r="CK74" s="54" t="s">
        <v>570</v>
      </c>
      <c r="CL74" s="46" t="s">
        <v>571</v>
      </c>
      <c r="CM74" s="46" t="s">
        <v>572</v>
      </c>
    </row>
    <row r="75" spans="11:92" ht="17.25" customHeight="1" x14ac:dyDescent="0.25">
      <c r="BB75" s="43">
        <f t="shared" si="24"/>
        <v>0</v>
      </c>
      <c r="BC75" s="43" t="str">
        <f>IF(([1]Dotazník!$L$10=ZDROJE!BM75)*AND([1]Dotazník!$AB$20=ZDROJE!BK75)*AND([1]Dotazník!$AB$21=ZDROJE!BJ75),ZDROJE!BP75,"chyba")</f>
        <v>chyba</v>
      </c>
      <c r="BD75" s="43">
        <f t="shared" si="25"/>
        <v>0</v>
      </c>
      <c r="BE75" s="43" t="str">
        <f>IF(([1]Dotazník!$L$10=ZDROJE!BM75)*AND([1]Dotazník!$AB$20=ZDROJE!BK75)*AND([1]Dotazník!$AB$21=ZDROJE!BJ75),ZDROJE!CI75,"chyba")</f>
        <v>chyba</v>
      </c>
      <c r="BF75" s="45" t="s">
        <v>608</v>
      </c>
      <c r="BG75" s="46">
        <v>622</v>
      </c>
      <c r="BH75" s="46" t="s">
        <v>191</v>
      </c>
      <c r="BI75" s="46" t="s">
        <v>568</v>
      </c>
      <c r="BJ75" s="46" t="s">
        <v>228</v>
      </c>
      <c r="BK75" s="46" t="s">
        <v>180</v>
      </c>
      <c r="BL75" s="46" t="s">
        <v>175</v>
      </c>
      <c r="BM75" s="47" t="s">
        <v>174</v>
      </c>
      <c r="BN75" s="46" t="s">
        <v>176</v>
      </c>
      <c r="BO75" s="74" t="s">
        <v>124</v>
      </c>
      <c r="BP75" s="48" t="str">
        <f t="shared" si="16"/>
        <v>622 Rozvoj ERDF NN ZV KA3 DA3.0 EF</v>
      </c>
      <c r="BQ75" s="49" t="s">
        <v>157</v>
      </c>
      <c r="BR75" s="49" t="s">
        <v>266</v>
      </c>
      <c r="BS75" s="49" t="s">
        <v>267</v>
      </c>
      <c r="BT75" s="49" t="s">
        <v>256</v>
      </c>
      <c r="BU75" s="49"/>
      <c r="BV75" s="49"/>
      <c r="BW75" s="49" t="s">
        <v>270</v>
      </c>
      <c r="BX75" s="49"/>
      <c r="BY75" s="49" t="s">
        <v>272</v>
      </c>
      <c r="BZ75" s="50">
        <v>1</v>
      </c>
      <c r="CA75" s="50">
        <v>1</v>
      </c>
      <c r="CB75" s="50">
        <v>1</v>
      </c>
      <c r="CC75" s="50">
        <v>1</v>
      </c>
      <c r="CD75" s="50"/>
      <c r="CE75" s="50"/>
      <c r="CF75" s="50">
        <v>1</v>
      </c>
      <c r="CG75" s="50"/>
      <c r="CH75" s="50">
        <v>1</v>
      </c>
      <c r="CI75" s="46" t="str">
        <f>VLOOKUP(BK75,[2]ZDROJ!$A$2:$C$20,2,0)</f>
        <v>102020</v>
      </c>
      <c r="CJ75" s="46" t="s">
        <v>182</v>
      </c>
      <c r="CK75" s="54" t="s">
        <v>570</v>
      </c>
      <c r="CL75" s="46" t="s">
        <v>571</v>
      </c>
      <c r="CM75" s="46" t="s">
        <v>572</v>
      </c>
    </row>
    <row r="76" spans="11:92" ht="17.25" customHeight="1" x14ac:dyDescent="0.25">
      <c r="BB76" s="43">
        <f t="shared" si="24"/>
        <v>0</v>
      </c>
      <c r="BC76" s="43" t="str">
        <f>IF(([1]Dotazník!$L$10=ZDROJE!BM76)*AND([1]Dotazník!$AB$20=ZDROJE!BK76)*AND([1]Dotazník!$AB$21=ZDROJE!BJ76),ZDROJE!BP76,"chyba")</f>
        <v>chyba</v>
      </c>
      <c r="BD76" s="43">
        <f t="shared" si="25"/>
        <v>0</v>
      </c>
      <c r="BE76" s="43" t="str">
        <f>IF(([1]Dotazník!$L$10=ZDROJE!BM76)*AND([1]Dotazník!$AB$20=ZDROJE!BK76)*AND([1]Dotazník!$AB$21=ZDROJE!BJ76),ZDROJE!CI76,"chyba")</f>
        <v>chyba</v>
      </c>
      <c r="BF76" s="45" t="s">
        <v>609</v>
      </c>
      <c r="BG76" s="46">
        <v>622</v>
      </c>
      <c r="BH76" s="46" t="s">
        <v>191</v>
      </c>
      <c r="BI76" s="46" t="s">
        <v>568</v>
      </c>
      <c r="BJ76" s="46" t="s">
        <v>228</v>
      </c>
      <c r="BK76" s="46" t="s">
        <v>180</v>
      </c>
      <c r="BL76" s="46" t="s">
        <v>175</v>
      </c>
      <c r="BM76" s="47" t="s">
        <v>174</v>
      </c>
      <c r="BN76" s="46" t="s">
        <v>176</v>
      </c>
      <c r="BO76" s="74" t="s">
        <v>125</v>
      </c>
      <c r="BP76" s="48" t="str">
        <f t="shared" si="16"/>
        <v>622 Rozvoj ERDF NN ZV KA3 DA3.0 FF</v>
      </c>
      <c r="BQ76" s="49" t="s">
        <v>157</v>
      </c>
      <c r="BR76" s="49" t="s">
        <v>266</v>
      </c>
      <c r="BS76" s="49" t="s">
        <v>267</v>
      </c>
      <c r="BT76" s="49" t="s">
        <v>256</v>
      </c>
      <c r="BU76" s="49"/>
      <c r="BV76" s="49"/>
      <c r="BW76" s="49" t="s">
        <v>270</v>
      </c>
      <c r="BX76" s="49"/>
      <c r="BY76" s="49" t="s">
        <v>272</v>
      </c>
      <c r="BZ76" s="50">
        <v>1</v>
      </c>
      <c r="CA76" s="50">
        <v>1</v>
      </c>
      <c r="CB76" s="50">
        <v>1</v>
      </c>
      <c r="CC76" s="50">
        <v>1</v>
      </c>
      <c r="CD76" s="50"/>
      <c r="CE76" s="50"/>
      <c r="CF76" s="50">
        <v>1</v>
      </c>
      <c r="CG76" s="50"/>
      <c r="CH76" s="50">
        <v>1</v>
      </c>
      <c r="CI76" s="46" t="str">
        <f>VLOOKUP(BK76,[2]ZDROJ!$A$2:$C$20,2,0)</f>
        <v>102020</v>
      </c>
      <c r="CJ76" s="46" t="s">
        <v>182</v>
      </c>
      <c r="CK76" s="54" t="s">
        <v>570</v>
      </c>
      <c r="CL76" s="46" t="s">
        <v>571</v>
      </c>
      <c r="CM76" s="46" t="s">
        <v>572</v>
      </c>
    </row>
    <row r="77" spans="11:92" ht="17.25" customHeight="1" x14ac:dyDescent="0.25">
      <c r="BB77" s="43">
        <f t="shared" si="24"/>
        <v>0</v>
      </c>
      <c r="BC77" s="43" t="str">
        <f>IF(([1]Dotazník!$L$10=ZDROJE!BM77)*AND([1]Dotazník!$AB$20=ZDROJE!BK77)*AND([1]Dotazník!$AB$21=ZDROJE!BJ77),ZDROJE!BP77,"chyba")</f>
        <v>chyba</v>
      </c>
      <c r="BD77" s="43">
        <f t="shared" si="25"/>
        <v>0</v>
      </c>
      <c r="BE77" s="43" t="str">
        <f>IF(([1]Dotazník!$L$10=ZDROJE!BM77)*AND([1]Dotazník!$AB$20=ZDROJE!BK77)*AND([1]Dotazník!$AB$21=ZDROJE!BJ77),ZDROJE!CI77,"chyba")</f>
        <v>chyba</v>
      </c>
      <c r="BF77" s="45" t="s">
        <v>610</v>
      </c>
      <c r="BG77" s="46">
        <v>622</v>
      </c>
      <c r="BH77" s="46" t="s">
        <v>191</v>
      </c>
      <c r="BI77" s="46" t="s">
        <v>568</v>
      </c>
      <c r="BJ77" s="46" t="s">
        <v>228</v>
      </c>
      <c r="BK77" s="46" t="s">
        <v>180</v>
      </c>
      <c r="BL77" s="46" t="s">
        <v>175</v>
      </c>
      <c r="BM77" s="47" t="s">
        <v>174</v>
      </c>
      <c r="BN77" s="46" t="s">
        <v>176</v>
      </c>
      <c r="BO77" s="74" t="s">
        <v>126</v>
      </c>
      <c r="BP77" s="48" t="str">
        <f t="shared" si="16"/>
        <v>622 Rozvoj ERDF NN ZV KA3 DA3.0 PF</v>
      </c>
      <c r="BQ77" s="49" t="s">
        <v>157</v>
      </c>
      <c r="BR77" s="49" t="s">
        <v>266</v>
      </c>
      <c r="BS77" s="49" t="s">
        <v>267</v>
      </c>
      <c r="BT77" s="49" t="s">
        <v>256</v>
      </c>
      <c r="BU77" s="49"/>
      <c r="BV77" s="49"/>
      <c r="BW77" s="49" t="s">
        <v>270</v>
      </c>
      <c r="BX77" s="49"/>
      <c r="BY77" s="49" t="s">
        <v>272</v>
      </c>
      <c r="BZ77" s="50">
        <v>1</v>
      </c>
      <c r="CA77" s="50">
        <v>1</v>
      </c>
      <c r="CB77" s="50">
        <v>1</v>
      </c>
      <c r="CC77" s="50">
        <v>1</v>
      </c>
      <c r="CD77" s="50"/>
      <c r="CE77" s="50"/>
      <c r="CF77" s="50">
        <v>1</v>
      </c>
      <c r="CG77" s="50"/>
      <c r="CH77" s="50">
        <v>1</v>
      </c>
      <c r="CI77" s="46" t="str">
        <f>VLOOKUP(BK77,[2]ZDROJ!$A$2:$C$20,2,0)</f>
        <v>102020</v>
      </c>
      <c r="CJ77" s="46" t="s">
        <v>182</v>
      </c>
      <c r="CK77" s="54" t="s">
        <v>570</v>
      </c>
      <c r="CL77" s="46" t="s">
        <v>571</v>
      </c>
      <c r="CM77" s="46" t="s">
        <v>572</v>
      </c>
    </row>
    <row r="78" spans="11:92" ht="17.25" customHeight="1" x14ac:dyDescent="0.25">
      <c r="BB78" s="43">
        <f t="shared" si="24"/>
        <v>0</v>
      </c>
      <c r="BC78" s="43" t="str">
        <f>IF(([1]Dotazník!$L$10=ZDROJE!BM78)*AND([1]Dotazník!$AB$20=ZDROJE!BK78)*AND([1]Dotazník!$AB$21=ZDROJE!BJ78),ZDROJE!BP78,"chyba")</f>
        <v>chyba</v>
      </c>
      <c r="BD78" s="43">
        <f t="shared" si="25"/>
        <v>0</v>
      </c>
      <c r="BE78" s="43" t="str">
        <f>IF(([1]Dotazník!$L$10=ZDROJE!BM78)*AND([1]Dotazník!$AB$20=ZDROJE!BK78)*AND([1]Dotazník!$AB$21=ZDROJE!BJ78),ZDROJE!CI78,"chyba")</f>
        <v>chyba</v>
      </c>
      <c r="BF78" s="45" t="s">
        <v>611</v>
      </c>
      <c r="BG78" s="46">
        <v>622</v>
      </c>
      <c r="BH78" s="46" t="s">
        <v>191</v>
      </c>
      <c r="BI78" s="46" t="s">
        <v>568</v>
      </c>
      <c r="BJ78" s="46" t="s">
        <v>228</v>
      </c>
      <c r="BK78" s="46" t="s">
        <v>180</v>
      </c>
      <c r="BL78" s="46" t="s">
        <v>175</v>
      </c>
      <c r="BM78" s="47" t="s">
        <v>174</v>
      </c>
      <c r="BN78" s="46" t="s">
        <v>176</v>
      </c>
      <c r="BO78" s="74" t="s">
        <v>129</v>
      </c>
      <c r="BP78" s="48" t="str">
        <f t="shared" si="16"/>
        <v>622 Rozvoj ERDF NN ZV KA3 DA3.0 TF</v>
      </c>
      <c r="BQ78" s="49" t="s">
        <v>157</v>
      </c>
      <c r="BR78" s="49" t="s">
        <v>266</v>
      </c>
      <c r="BS78" s="49" t="s">
        <v>267</v>
      </c>
      <c r="BT78" s="49" t="s">
        <v>256</v>
      </c>
      <c r="BU78" s="49"/>
      <c r="BV78" s="49"/>
      <c r="BW78" s="49" t="s">
        <v>270</v>
      </c>
      <c r="BX78" s="49"/>
      <c r="BY78" s="49" t="s">
        <v>272</v>
      </c>
      <c r="BZ78" s="50">
        <v>1</v>
      </c>
      <c r="CA78" s="50">
        <v>1</v>
      </c>
      <c r="CB78" s="50">
        <v>1</v>
      </c>
      <c r="CC78" s="50">
        <v>1</v>
      </c>
      <c r="CD78" s="50"/>
      <c r="CE78" s="50"/>
      <c r="CF78" s="50">
        <v>1</v>
      </c>
      <c r="CG78" s="50"/>
      <c r="CH78" s="50">
        <v>1</v>
      </c>
      <c r="CI78" s="46" t="str">
        <f>VLOOKUP(BK78,[2]ZDROJ!$A$2:$C$20,2,0)</f>
        <v>102020</v>
      </c>
      <c r="CJ78" s="46" t="s">
        <v>182</v>
      </c>
      <c r="CK78" s="54" t="s">
        <v>570</v>
      </c>
      <c r="CL78" s="46" t="s">
        <v>571</v>
      </c>
      <c r="CM78" s="46" t="s">
        <v>572</v>
      </c>
    </row>
    <row r="79" spans="11:92" ht="17.25" customHeight="1" x14ac:dyDescent="0.25">
      <c r="BB79" s="43">
        <f t="shared" si="24"/>
        <v>0</v>
      </c>
      <c r="BC79" s="43" t="str">
        <f>IF(([1]Dotazník!$L$10=ZDROJE!BM79)*AND([1]Dotazník!$AB$20=ZDROJE!BK79)*AND([1]Dotazník!$AB$21=ZDROJE!BJ79),ZDROJE!BP79,"chyba")</f>
        <v>chyba</v>
      </c>
      <c r="BD79" s="43">
        <f t="shared" si="25"/>
        <v>0</v>
      </c>
      <c r="BE79" s="43" t="str">
        <f>IF(([1]Dotazník!$L$10=ZDROJE!BM79)*AND([1]Dotazník!$AB$20=ZDROJE!BK79)*AND([1]Dotazník!$AB$21=ZDROJE!BJ79),ZDROJE!CI79,"chyba")</f>
        <v>chyba</v>
      </c>
      <c r="BF79" s="45" t="s">
        <v>612</v>
      </c>
      <c r="BG79" s="46">
        <v>622</v>
      </c>
      <c r="BH79" s="46" t="s">
        <v>191</v>
      </c>
      <c r="BI79" s="46" t="s">
        <v>568</v>
      </c>
      <c r="BJ79" s="46" t="s">
        <v>228</v>
      </c>
      <c r="BK79" s="46" t="s">
        <v>180</v>
      </c>
      <c r="BL79" s="46" t="s">
        <v>175</v>
      </c>
      <c r="BM79" s="47" t="s">
        <v>174</v>
      </c>
      <c r="BN79" s="46" t="s">
        <v>176</v>
      </c>
      <c r="BO79" s="74" t="s">
        <v>131</v>
      </c>
      <c r="BP79" s="48" t="str">
        <f t="shared" si="16"/>
        <v>622 Rozvoj ERDF NN ZV KA3 DA3.0 ZF</v>
      </c>
      <c r="BQ79" s="49" t="s">
        <v>157</v>
      </c>
      <c r="BR79" s="49" t="s">
        <v>266</v>
      </c>
      <c r="BS79" s="49" t="s">
        <v>267</v>
      </c>
      <c r="BT79" s="49" t="s">
        <v>256</v>
      </c>
      <c r="BU79" s="49"/>
      <c r="BV79" s="49"/>
      <c r="BW79" s="49" t="s">
        <v>270</v>
      </c>
      <c r="BX79" s="49"/>
      <c r="BY79" s="49" t="s">
        <v>272</v>
      </c>
      <c r="BZ79" s="50">
        <v>1</v>
      </c>
      <c r="CA79" s="50">
        <v>1</v>
      </c>
      <c r="CB79" s="50">
        <v>1</v>
      </c>
      <c r="CC79" s="50">
        <v>1</v>
      </c>
      <c r="CD79" s="50"/>
      <c r="CE79" s="50"/>
      <c r="CF79" s="50">
        <v>1</v>
      </c>
      <c r="CG79" s="50"/>
      <c r="CH79" s="50">
        <v>1</v>
      </c>
      <c r="CI79" s="46" t="str">
        <f>VLOOKUP(BK79,[2]ZDROJ!$A$2:$C$20,2,0)</f>
        <v>102020</v>
      </c>
      <c r="CJ79" s="46" t="s">
        <v>182</v>
      </c>
      <c r="CK79" s="54" t="s">
        <v>570</v>
      </c>
      <c r="CL79" s="46" t="s">
        <v>571</v>
      </c>
      <c r="CM79" s="46" t="s">
        <v>572</v>
      </c>
    </row>
    <row r="80" spans="11:92" ht="17.25" customHeight="1" x14ac:dyDescent="0.25">
      <c r="BB80" s="43">
        <f t="shared" si="24"/>
        <v>0</v>
      </c>
      <c r="BC80" s="43" t="str">
        <f>IF(([1]Dotazník!$L$10=ZDROJE!BM80)*AND([1]Dotazník!$AB$20=ZDROJE!BK80)*AND([1]Dotazník!$AB$21=ZDROJE!BJ80),ZDROJE!BP80,"chyba")</f>
        <v>chyba</v>
      </c>
      <c r="BD80" s="43">
        <f t="shared" si="25"/>
        <v>0</v>
      </c>
      <c r="BE80" s="43" t="str">
        <f>IF(([1]Dotazník!$L$10=ZDROJE!BM80)*AND([1]Dotazník!$AB$20=ZDROJE!BK80)*AND([1]Dotazník!$AB$21=ZDROJE!BJ80),ZDROJE!CI80,"chyba")</f>
        <v>chyba</v>
      </c>
      <c r="BF80" s="45" t="s">
        <v>613</v>
      </c>
      <c r="BG80" s="46">
        <v>622</v>
      </c>
      <c r="BH80" s="46" t="s">
        <v>191</v>
      </c>
      <c r="BI80" s="46" t="s">
        <v>568</v>
      </c>
      <c r="BJ80" s="46" t="s">
        <v>542</v>
      </c>
      <c r="BK80" s="46"/>
      <c r="BL80" s="46"/>
      <c r="BM80" s="47"/>
      <c r="BN80" s="46"/>
      <c r="BO80" s="46" t="s">
        <v>132</v>
      </c>
      <c r="BP80" s="48" t="str">
        <f t="shared" si="16"/>
        <v>622 Rozvoj ERDF Kof    REK</v>
      </c>
      <c r="BQ80" s="49" t="s">
        <v>157</v>
      </c>
      <c r="BR80" s="49"/>
      <c r="BS80" s="49"/>
      <c r="BT80" s="49"/>
      <c r="BU80" s="49"/>
      <c r="BV80" s="49"/>
      <c r="BW80" s="49"/>
      <c r="BX80" s="49"/>
      <c r="BY80" s="49"/>
      <c r="BZ80" s="50" t="s">
        <v>178</v>
      </c>
      <c r="CA80" s="50"/>
      <c r="CB80" s="50"/>
      <c r="CC80" s="50"/>
      <c r="CD80" s="50"/>
      <c r="CE80" s="50"/>
      <c r="CF80" s="50"/>
      <c r="CG80" s="50"/>
      <c r="CH80" s="50"/>
      <c r="CI80" s="67"/>
      <c r="CJ80" s="67"/>
      <c r="CK80" s="67"/>
      <c r="CL80" s="67"/>
      <c r="CM80" s="67"/>
    </row>
    <row r="81" spans="54:92" ht="17.25" customHeight="1" x14ac:dyDescent="0.25">
      <c r="BB81" s="43">
        <f t="shared" si="24"/>
        <v>0</v>
      </c>
      <c r="BC81" s="43" t="str">
        <f>IF(([1]Dotazník!$L$10=ZDROJE!BM81)*AND([1]Dotazník!$AB$20=ZDROJE!BK81)*AND([1]Dotazník!$AB$21=ZDROJE!BJ81),ZDROJE!BP81,"chyba")</f>
        <v>chyba</v>
      </c>
      <c r="BD81" s="43">
        <f t="shared" si="25"/>
        <v>0</v>
      </c>
      <c r="BE81" s="43" t="str">
        <f>IF(([1]Dotazník!$L$10=ZDROJE!BM81)*AND([1]Dotazník!$AB$20=ZDROJE!BK81)*AND([1]Dotazník!$AB$21=ZDROJE!BJ81),ZDROJE!CI81,"chyba")</f>
        <v>chyba</v>
      </c>
      <c r="BF81" s="45" t="s">
        <v>614</v>
      </c>
      <c r="BG81" s="46">
        <v>622</v>
      </c>
      <c r="BH81" s="46" t="s">
        <v>191</v>
      </c>
      <c r="BI81" s="46" t="s">
        <v>568</v>
      </c>
      <c r="BJ81" s="46" t="s">
        <v>542</v>
      </c>
      <c r="BK81" s="46"/>
      <c r="BL81" s="46"/>
      <c r="BM81" s="47"/>
      <c r="BN81" s="46"/>
      <c r="BO81" s="46" t="s">
        <v>124</v>
      </c>
      <c r="BP81" s="48" t="str">
        <f t="shared" si="16"/>
        <v>622 Rozvoj ERDF Kof    EF</v>
      </c>
      <c r="BQ81" s="49"/>
      <c r="BR81" s="49" t="s">
        <v>266</v>
      </c>
      <c r="BS81" s="49"/>
      <c r="BT81" s="49"/>
      <c r="BU81" s="49"/>
      <c r="BV81" s="49"/>
      <c r="BW81" s="49"/>
      <c r="BX81" s="49"/>
      <c r="BY81" s="49"/>
      <c r="BZ81" s="50"/>
      <c r="CA81" s="50" t="s">
        <v>178</v>
      </c>
      <c r="CB81" s="50"/>
      <c r="CC81" s="50"/>
      <c r="CD81" s="50"/>
      <c r="CE81" s="50"/>
      <c r="CF81" s="50"/>
      <c r="CG81" s="50"/>
      <c r="CH81" s="50"/>
      <c r="CI81" s="67"/>
      <c r="CJ81" s="67"/>
      <c r="CK81" s="67"/>
      <c r="CL81" s="67"/>
      <c r="CM81" s="67"/>
    </row>
    <row r="82" spans="54:92" ht="17.25" customHeight="1" x14ac:dyDescent="0.25">
      <c r="BB82" s="43">
        <f t="shared" si="24"/>
        <v>0</v>
      </c>
      <c r="BC82" s="43" t="str">
        <f>IF(([1]Dotazník!$L$10=ZDROJE!BM82)*AND([1]Dotazník!$AB$20=ZDROJE!BK82)*AND([1]Dotazník!$AB$21=ZDROJE!BJ82),ZDROJE!BP82,"chyba")</f>
        <v>chyba</v>
      </c>
      <c r="BD82" s="43">
        <f t="shared" si="25"/>
        <v>0</v>
      </c>
      <c r="BE82" s="43" t="str">
        <f>IF(([1]Dotazník!$L$10=ZDROJE!BM82)*AND([1]Dotazník!$AB$20=ZDROJE!BK82)*AND([1]Dotazník!$AB$21=ZDROJE!BJ82),ZDROJE!CI82,"chyba")</f>
        <v>chyba</v>
      </c>
      <c r="BF82" s="45" t="s">
        <v>615</v>
      </c>
      <c r="BG82" s="46">
        <v>622</v>
      </c>
      <c r="BH82" s="46" t="s">
        <v>191</v>
      </c>
      <c r="BI82" s="46" t="s">
        <v>568</v>
      </c>
      <c r="BJ82" s="46" t="s">
        <v>542</v>
      </c>
      <c r="BK82" s="46"/>
      <c r="BL82" s="46"/>
      <c r="BM82" s="47"/>
      <c r="BN82" s="46"/>
      <c r="BO82" s="46" t="s">
        <v>125</v>
      </c>
      <c r="BP82" s="48" t="str">
        <f t="shared" si="16"/>
        <v>622 Rozvoj ERDF Kof    FF</v>
      </c>
      <c r="BQ82" s="49"/>
      <c r="BR82" s="49"/>
      <c r="BS82" s="49" t="s">
        <v>267</v>
      </c>
      <c r="BT82" s="49"/>
      <c r="BU82" s="49"/>
      <c r="BV82" s="49"/>
      <c r="BW82" s="49"/>
      <c r="BX82" s="49"/>
      <c r="BY82" s="49"/>
      <c r="BZ82" s="50"/>
      <c r="CA82" s="50"/>
      <c r="CB82" s="50" t="s">
        <v>178</v>
      </c>
      <c r="CC82" s="50"/>
      <c r="CD82" s="50"/>
      <c r="CE82" s="50"/>
      <c r="CF82" s="50"/>
      <c r="CG82" s="50"/>
      <c r="CH82" s="50"/>
      <c r="CI82" s="67"/>
      <c r="CJ82" s="67"/>
      <c r="CK82" s="67"/>
      <c r="CL82" s="67"/>
      <c r="CM82" s="67"/>
    </row>
    <row r="83" spans="54:92" ht="17.25" customHeight="1" x14ac:dyDescent="0.25">
      <c r="BB83" s="43">
        <f t="shared" si="24"/>
        <v>0</v>
      </c>
      <c r="BC83" s="43" t="str">
        <f>IF(([1]Dotazník!$L$10=ZDROJE!BM83)*AND([1]Dotazník!$AB$20=ZDROJE!BK83)*AND([1]Dotazník!$AB$21=ZDROJE!BJ83),ZDROJE!BP83,"chyba")</f>
        <v>chyba</v>
      </c>
      <c r="BD83" s="43">
        <f t="shared" si="25"/>
        <v>0</v>
      </c>
      <c r="BE83" s="43" t="str">
        <f>IF(([1]Dotazník!$L$10=ZDROJE!BM83)*AND([1]Dotazník!$AB$20=ZDROJE!BK83)*AND([1]Dotazník!$AB$21=ZDROJE!BJ83),ZDROJE!CI83,"chyba")</f>
        <v>chyba</v>
      </c>
      <c r="BF83" s="45" t="s">
        <v>616</v>
      </c>
      <c r="BG83" s="46">
        <v>622</v>
      </c>
      <c r="BH83" s="46" t="s">
        <v>191</v>
      </c>
      <c r="BI83" s="46" t="s">
        <v>568</v>
      </c>
      <c r="BJ83" s="46" t="s">
        <v>542</v>
      </c>
      <c r="BK83" s="46"/>
      <c r="BL83" s="46"/>
      <c r="BM83" s="47"/>
      <c r="BN83" s="46"/>
      <c r="BO83" s="46" t="s">
        <v>126</v>
      </c>
      <c r="BP83" s="48" t="str">
        <f t="shared" si="16"/>
        <v>622 Rozvoj ERDF Kof    PF</v>
      </c>
      <c r="BQ83" s="49"/>
      <c r="BR83" s="49"/>
      <c r="BS83" s="49"/>
      <c r="BT83" s="49" t="s">
        <v>256</v>
      </c>
      <c r="BU83" s="49"/>
      <c r="BV83" s="49"/>
      <c r="BW83" s="49"/>
      <c r="BX83" s="49"/>
      <c r="BY83" s="49"/>
      <c r="BZ83" s="50"/>
      <c r="CA83" s="50"/>
      <c r="CB83" s="50"/>
      <c r="CC83" s="50" t="s">
        <v>178</v>
      </c>
      <c r="CD83" s="50"/>
      <c r="CE83" s="50"/>
      <c r="CF83" s="50"/>
      <c r="CG83" s="50"/>
      <c r="CH83" s="50"/>
      <c r="CI83" s="67"/>
      <c r="CJ83" s="67"/>
      <c r="CK83" s="67"/>
      <c r="CL83" s="67"/>
      <c r="CM83" s="67"/>
    </row>
    <row r="84" spans="54:92" ht="17.25" customHeight="1" x14ac:dyDescent="0.25">
      <c r="BB84" s="43">
        <f t="shared" si="24"/>
        <v>0</v>
      </c>
      <c r="BC84" s="43" t="str">
        <f>IF(([1]Dotazník!$L$10=ZDROJE!BM84)*AND([1]Dotazník!$AB$20=ZDROJE!BK84)*AND([1]Dotazník!$AB$21=ZDROJE!BJ84),ZDROJE!BP84,"chyba")</f>
        <v>chyba</v>
      </c>
      <c r="BD84" s="43">
        <f t="shared" si="25"/>
        <v>0</v>
      </c>
      <c r="BE84" s="43" t="str">
        <f>IF(([1]Dotazník!$L$10=ZDROJE!BM84)*AND([1]Dotazník!$AB$20=ZDROJE!BK84)*AND([1]Dotazník!$AB$21=ZDROJE!BJ84),ZDROJE!CI84,"chyba")</f>
        <v>chyba</v>
      </c>
      <c r="BF84" s="45" t="s">
        <v>617</v>
      </c>
      <c r="BG84" s="46">
        <v>622</v>
      </c>
      <c r="BH84" s="46" t="s">
        <v>191</v>
      </c>
      <c r="BI84" s="46" t="s">
        <v>568</v>
      </c>
      <c r="BJ84" s="46" t="s">
        <v>542</v>
      </c>
      <c r="BK84" s="46"/>
      <c r="BL84" s="46"/>
      <c r="BM84" s="47"/>
      <c r="BN84" s="46"/>
      <c r="BO84" s="46" t="s">
        <v>129</v>
      </c>
      <c r="BP84" s="48" t="str">
        <f t="shared" si="16"/>
        <v>622 Rozvoj ERDF Kof    TF</v>
      </c>
      <c r="BQ84" s="49"/>
      <c r="BR84" s="49"/>
      <c r="BS84" s="49"/>
      <c r="BT84" s="49"/>
      <c r="BU84" s="49"/>
      <c r="BV84" s="49"/>
      <c r="BW84" s="49" t="s">
        <v>270</v>
      </c>
      <c r="BX84" s="49"/>
      <c r="BY84" s="49"/>
      <c r="BZ84" s="50"/>
      <c r="CA84" s="50"/>
      <c r="CB84" s="50"/>
      <c r="CC84" s="50"/>
      <c r="CD84" s="50"/>
      <c r="CE84" s="50"/>
      <c r="CF84" s="50" t="s">
        <v>178</v>
      </c>
      <c r="CG84" s="50"/>
      <c r="CH84" s="50"/>
      <c r="CI84" s="67"/>
      <c r="CJ84" s="67"/>
      <c r="CK84" s="67"/>
      <c r="CL84" s="67"/>
      <c r="CM84" s="67"/>
    </row>
    <row r="85" spans="54:92" ht="17.25" customHeight="1" x14ac:dyDescent="0.25">
      <c r="BB85" s="43">
        <f t="shared" si="24"/>
        <v>0</v>
      </c>
      <c r="BC85" s="43" t="str">
        <f>IF(([1]Dotazník!$L$10=ZDROJE!BM85)*AND([1]Dotazník!$AB$20=ZDROJE!BK85)*AND([1]Dotazník!$AB$21=ZDROJE!BJ85),ZDROJE!BP85,"chyba")</f>
        <v>chyba</v>
      </c>
      <c r="BD85" s="43">
        <f t="shared" si="25"/>
        <v>0</v>
      </c>
      <c r="BE85" s="43" t="str">
        <f>IF(([1]Dotazník!$L$10=ZDROJE!BM85)*AND([1]Dotazník!$AB$20=ZDROJE!BK85)*AND([1]Dotazník!$AB$21=ZDROJE!BJ85),ZDROJE!CI85,"chyba")</f>
        <v>chyba</v>
      </c>
      <c r="BF85" s="45" t="s">
        <v>618</v>
      </c>
      <c r="BG85" s="46">
        <v>622</v>
      </c>
      <c r="BH85" s="46" t="s">
        <v>191</v>
      </c>
      <c r="BI85" s="46" t="s">
        <v>568</v>
      </c>
      <c r="BJ85" s="46" t="s">
        <v>542</v>
      </c>
      <c r="BK85" s="46"/>
      <c r="BL85" s="46"/>
      <c r="BM85" s="47"/>
      <c r="BN85" s="46"/>
      <c r="BO85" s="46" t="s">
        <v>131</v>
      </c>
      <c r="BP85" s="48" t="str">
        <f t="shared" si="16"/>
        <v>622 Rozvoj ERDF Kof    ZF</v>
      </c>
      <c r="BQ85" s="49"/>
      <c r="BR85" s="49"/>
      <c r="BS85" s="49"/>
      <c r="BT85" s="49"/>
      <c r="BU85" s="49"/>
      <c r="BV85" s="49"/>
      <c r="BW85" s="49"/>
      <c r="BX85" s="49"/>
      <c r="BY85" s="49" t="s">
        <v>272</v>
      </c>
      <c r="BZ85" s="50"/>
      <c r="CA85" s="50"/>
      <c r="CB85" s="50"/>
      <c r="CC85" s="50"/>
      <c r="CD85" s="50"/>
      <c r="CE85" s="50"/>
      <c r="CF85" s="50"/>
      <c r="CG85" s="50"/>
      <c r="CH85" s="50" t="s">
        <v>178</v>
      </c>
      <c r="CI85" s="67"/>
      <c r="CJ85" s="67"/>
      <c r="CK85" s="67"/>
      <c r="CL85" s="67"/>
      <c r="CM85" s="67"/>
    </row>
    <row r="86" spans="54:92" ht="17.25" customHeight="1" x14ac:dyDescent="0.25">
      <c r="BB86" s="43">
        <f t="shared" si="24"/>
        <v>0</v>
      </c>
      <c r="BC86" s="43" t="str">
        <f>IF(([1]Dotazník!$L$10=ZDROJE!BM86)*AND([1]Dotazník!$AB$20=ZDROJE!BK86)*AND([1]Dotazník!$AB$21=ZDROJE!BJ86),ZDROJE!BP86,"chyba")</f>
        <v>chyba</v>
      </c>
      <c r="BD86" s="43">
        <f t="shared" si="25"/>
        <v>0</v>
      </c>
      <c r="BE86" s="43" t="str">
        <f>IF(([1]Dotazník!$L$10=ZDROJE!BM86)*AND([1]Dotazník!$AB$20=ZDROJE!BK86)*AND([1]Dotazník!$AB$21=ZDROJE!BJ86),ZDROJE!CI86,"chyba")</f>
        <v>chyba</v>
      </c>
      <c r="BF86" s="45" t="s">
        <v>619</v>
      </c>
      <c r="BG86" s="46">
        <v>622</v>
      </c>
      <c r="BH86" s="46" t="s">
        <v>223</v>
      </c>
      <c r="BI86" s="46" t="s">
        <v>225</v>
      </c>
      <c r="BJ86" s="46" t="s">
        <v>148</v>
      </c>
      <c r="BK86" s="46" t="s">
        <v>180</v>
      </c>
      <c r="BL86" s="46"/>
      <c r="BM86" s="47" t="s">
        <v>177</v>
      </c>
      <c r="BN86" s="46" t="s">
        <v>176</v>
      </c>
      <c r="BO86" s="46" t="s">
        <v>132</v>
      </c>
      <c r="BP86" s="48" t="str">
        <f>CONCATENATE(BG86," ",BI86," ",BJ86," ",BK86," ",BL86)</f>
        <v xml:space="preserve">622 SLNO PN ZV </v>
      </c>
      <c r="BQ86" s="49" t="s">
        <v>157</v>
      </c>
      <c r="BR86" s="49"/>
      <c r="BS86" s="49"/>
      <c r="BT86" s="49"/>
      <c r="BU86" s="49"/>
      <c r="BV86" s="49"/>
      <c r="BW86" s="49"/>
      <c r="BX86" s="49"/>
      <c r="BY86" s="49"/>
      <c r="BZ86" s="50">
        <v>1</v>
      </c>
      <c r="CA86" s="50"/>
      <c r="CB86" s="50"/>
      <c r="CC86" s="50"/>
      <c r="CD86" s="50"/>
      <c r="CE86" s="50"/>
      <c r="CF86" s="50"/>
      <c r="CG86" s="50">
        <v>1</v>
      </c>
      <c r="CH86" s="50"/>
      <c r="CI86" s="46" t="str">
        <f>VLOOKUP(BK86,[2]ZDROJ!$A$2:$C$20,2,0)</f>
        <v>102020</v>
      </c>
      <c r="CJ86" s="46" t="s">
        <v>182</v>
      </c>
      <c r="CK86" s="54" t="s">
        <v>570</v>
      </c>
      <c r="CL86" s="46" t="s">
        <v>572</v>
      </c>
      <c r="CM86" s="46" t="s">
        <v>184</v>
      </c>
    </row>
    <row r="87" spans="54:92" ht="17.25" customHeight="1" x14ac:dyDescent="0.25">
      <c r="BB87" s="43">
        <f t="shared" si="24"/>
        <v>0</v>
      </c>
      <c r="BC87" s="43" t="str">
        <f>IF(([1]Dotazník!$L$10=ZDROJE!BM87)*AND([1]Dotazník!$AB$20=ZDROJE!BK87)*AND([1]Dotazník!$AB$21=ZDROJE!BJ87),ZDROJE!BP87,"chyba")</f>
        <v>chyba</v>
      </c>
      <c r="BD87" s="43">
        <f t="shared" si="25"/>
        <v>0</v>
      </c>
      <c r="BE87" s="43" t="str">
        <f>IF(([1]Dotazník!$L$10=ZDROJE!BM87)*AND([1]Dotazník!$AB$20=ZDROJE!BK87)*AND([1]Dotazník!$AB$21=ZDROJE!BJ87),ZDROJE!CI87,"chyba")</f>
        <v>chyba</v>
      </c>
      <c r="BF87" s="75" t="s">
        <v>619</v>
      </c>
      <c r="BG87" s="74">
        <v>622</v>
      </c>
      <c r="BH87" s="74" t="s">
        <v>223</v>
      </c>
      <c r="BI87" s="74" t="s">
        <v>225</v>
      </c>
      <c r="BJ87" s="74" t="s">
        <v>148</v>
      </c>
      <c r="BK87" s="74" t="s">
        <v>180</v>
      </c>
      <c r="BL87" s="74"/>
      <c r="BM87" s="74" t="s">
        <v>177</v>
      </c>
      <c r="BN87" s="74" t="s">
        <v>176</v>
      </c>
      <c r="BO87" s="74" t="s">
        <v>130</v>
      </c>
      <c r="BP87" s="76" t="str">
        <f>CONCATENATE(BG87," ",BI87," ",BJ87," ",BK87," ",BL87)</f>
        <v xml:space="preserve">622 SLNO PN ZV </v>
      </c>
      <c r="BQ87" s="77" t="s">
        <v>157</v>
      </c>
      <c r="BR87" s="77"/>
      <c r="BS87" s="77"/>
      <c r="BT87" s="77"/>
      <c r="BU87" s="77"/>
      <c r="BV87" s="77"/>
      <c r="BW87" s="77"/>
      <c r="BX87" s="77"/>
      <c r="BY87" s="77"/>
      <c r="BZ87" s="78">
        <v>1</v>
      </c>
      <c r="CA87" s="78"/>
      <c r="CB87" s="78"/>
      <c r="CC87" s="78"/>
      <c r="CD87" s="78"/>
      <c r="CE87" s="78"/>
      <c r="CF87" s="78"/>
      <c r="CG87" s="78">
        <v>1</v>
      </c>
      <c r="CH87" s="78"/>
      <c r="CI87" s="74" t="str">
        <f>VLOOKUP(BK87,[2]ZDROJ!$A$2:$C$20,2,0)</f>
        <v>102020</v>
      </c>
      <c r="CJ87" s="74" t="s">
        <v>182</v>
      </c>
      <c r="CK87" s="79" t="s">
        <v>570</v>
      </c>
      <c r="CL87" s="74" t="s">
        <v>572</v>
      </c>
      <c r="CM87" s="74" t="s">
        <v>184</v>
      </c>
      <c r="CN87" s="80"/>
    </row>
    <row r="88" spans="54:92" ht="17.25" customHeight="1" x14ac:dyDescent="0.25">
      <c r="BB88" s="43">
        <f t="shared" si="24"/>
        <v>0</v>
      </c>
      <c r="BC88" s="43" t="str">
        <f>IF(([1]Dotazník!$L$10=ZDROJE!BM88)*AND([1]Dotazník!$AB$20=ZDROJE!BK88)*AND([1]Dotazník!$AB$21=ZDROJE!BJ88),ZDROJE!BP88,"chyba")</f>
        <v>chyba</v>
      </c>
      <c r="BD88" s="43">
        <f t="shared" si="25"/>
        <v>0</v>
      </c>
      <c r="BE88" s="43" t="str">
        <f>IF(([1]Dotazník!$L$10=ZDROJE!BM88)*AND([1]Dotazník!$AB$20=ZDROJE!BK88)*AND([1]Dotazník!$AB$21=ZDROJE!BJ88),ZDROJE!CI88,"chyba")</f>
        <v>chyba</v>
      </c>
      <c r="BF88" s="45" t="s">
        <v>620</v>
      </c>
      <c r="BG88" s="46">
        <v>622</v>
      </c>
      <c r="BH88" s="46" t="s">
        <v>223</v>
      </c>
      <c r="BI88" s="46" t="s">
        <v>225</v>
      </c>
      <c r="BJ88" s="46" t="s">
        <v>148</v>
      </c>
      <c r="BK88" s="46" t="s">
        <v>217</v>
      </c>
      <c r="BL88" s="46"/>
      <c r="BM88" s="47" t="s">
        <v>177</v>
      </c>
      <c r="BN88" s="46" t="s">
        <v>176</v>
      </c>
      <c r="BO88" s="46" t="s">
        <v>132</v>
      </c>
      <c r="BP88" s="48" t="str">
        <f t="shared" ref="BP88:BP91" si="27">CONCATENATE(BG88," ",BI88," ",BJ88," ",BK88," ",BL88)</f>
        <v xml:space="preserve">622 SLNO PN NV </v>
      </c>
      <c r="BQ88" s="49" t="s">
        <v>157</v>
      </c>
      <c r="BR88" s="49"/>
      <c r="BS88" s="49"/>
      <c r="BT88" s="49"/>
      <c r="BU88" s="49"/>
      <c r="BV88" s="49"/>
      <c r="BW88" s="49"/>
      <c r="BX88" s="49"/>
      <c r="BY88" s="49"/>
      <c r="BZ88" s="50">
        <v>1</v>
      </c>
      <c r="CA88" s="50"/>
      <c r="CB88" s="50"/>
      <c r="CC88" s="50"/>
      <c r="CD88" s="50"/>
      <c r="CE88" s="50"/>
      <c r="CF88" s="50"/>
      <c r="CG88" s="50">
        <v>1</v>
      </c>
      <c r="CH88" s="50"/>
      <c r="CI88" s="46" t="str">
        <f>VLOOKUP(BK88,[2]ZDROJ!$A$2:$C$20,2,0)</f>
        <v>102031</v>
      </c>
      <c r="CJ88" s="46" t="s">
        <v>182</v>
      </c>
      <c r="CK88" s="54" t="s">
        <v>570</v>
      </c>
      <c r="CL88" s="46" t="s">
        <v>572</v>
      </c>
      <c r="CM88" s="46" t="s">
        <v>184</v>
      </c>
    </row>
    <row r="89" spans="54:92" ht="17.25" customHeight="1" x14ac:dyDescent="0.25">
      <c r="BB89" s="43">
        <f t="shared" si="24"/>
        <v>0</v>
      </c>
      <c r="BC89" s="43" t="str">
        <f>IF(([1]Dotazník!$L$10=ZDROJE!BM89)*AND([1]Dotazník!$AB$20=ZDROJE!BK89)*AND([1]Dotazník!$AB$21=ZDROJE!BJ89),ZDROJE!BP89,"chyba")</f>
        <v>chyba</v>
      </c>
      <c r="BD89" s="43">
        <f t="shared" si="25"/>
        <v>0</v>
      </c>
      <c r="BE89" s="43" t="str">
        <f>IF(([1]Dotazník!$L$10=ZDROJE!BM89)*AND([1]Dotazník!$AB$20=ZDROJE!BK89)*AND([1]Dotazník!$AB$21=ZDROJE!BJ89),ZDROJE!CI89,"chyba")</f>
        <v>chyba</v>
      </c>
      <c r="BF89" s="45" t="s">
        <v>621</v>
      </c>
      <c r="BG89" s="46">
        <v>622</v>
      </c>
      <c r="BH89" s="46" t="s">
        <v>223</v>
      </c>
      <c r="BI89" s="46" t="s">
        <v>225</v>
      </c>
      <c r="BJ89" s="46" t="s">
        <v>228</v>
      </c>
      <c r="BK89" s="46" t="s">
        <v>180</v>
      </c>
      <c r="BL89" s="46"/>
      <c r="BM89" s="47" t="s">
        <v>177</v>
      </c>
      <c r="BN89" s="46" t="s">
        <v>176</v>
      </c>
      <c r="BO89" s="46" t="s">
        <v>132</v>
      </c>
      <c r="BP89" s="48" t="str">
        <f t="shared" si="27"/>
        <v xml:space="preserve">622 SLNO NN ZV </v>
      </c>
      <c r="BQ89" s="49" t="s">
        <v>157</v>
      </c>
      <c r="BR89" s="49"/>
      <c r="BS89" s="49"/>
      <c r="BT89" s="49"/>
      <c r="BU89" s="49"/>
      <c r="BV89" s="49"/>
      <c r="BW89" s="49"/>
      <c r="BX89" s="49"/>
      <c r="BY89" s="49"/>
      <c r="BZ89" s="50">
        <v>1</v>
      </c>
      <c r="CA89" s="50"/>
      <c r="CB89" s="50"/>
      <c r="CC89" s="50"/>
      <c r="CD89" s="50"/>
      <c r="CE89" s="50"/>
      <c r="CF89" s="50"/>
      <c r="CG89" s="50">
        <v>1</v>
      </c>
      <c r="CH89" s="50"/>
      <c r="CI89" s="46" t="str">
        <f>VLOOKUP(BK89,[2]ZDROJ!$A$2:$C$20,2,0)</f>
        <v>102020</v>
      </c>
      <c r="CJ89" s="46" t="s">
        <v>182</v>
      </c>
      <c r="CK89" s="54" t="s">
        <v>570</v>
      </c>
      <c r="CL89" s="46" t="s">
        <v>572</v>
      </c>
      <c r="CM89" s="46" t="s">
        <v>184</v>
      </c>
    </row>
    <row r="90" spans="54:92" ht="17.25" customHeight="1" x14ac:dyDescent="0.25">
      <c r="BB90" s="43">
        <f t="shared" si="24"/>
        <v>0</v>
      </c>
      <c r="BC90" s="43" t="str">
        <f>IF(([1]Dotazník!$L$10=ZDROJE!BM90)*AND([1]Dotazník!$AB$20=ZDROJE!BK90)*AND([1]Dotazník!$AB$21=ZDROJE!BJ90),ZDROJE!BP90,"chyba")</f>
        <v>chyba</v>
      </c>
      <c r="BD90" s="43">
        <f t="shared" si="25"/>
        <v>0</v>
      </c>
      <c r="BE90" s="43" t="str">
        <f>IF(([1]Dotazník!$L$10=ZDROJE!BM90)*AND([1]Dotazník!$AB$20=ZDROJE!BK90)*AND([1]Dotazník!$AB$21=ZDROJE!BJ90),ZDROJE!CI90,"chyba")</f>
        <v>chyba</v>
      </c>
      <c r="BF90" s="45" t="s">
        <v>622</v>
      </c>
      <c r="BG90" s="46">
        <v>622</v>
      </c>
      <c r="BH90" s="46" t="s">
        <v>223</v>
      </c>
      <c r="BI90" s="46" t="s">
        <v>623</v>
      </c>
      <c r="BJ90" s="46" t="s">
        <v>148</v>
      </c>
      <c r="BK90" s="46" t="s">
        <v>180</v>
      </c>
      <c r="BL90" s="46"/>
      <c r="BM90" s="47" t="s">
        <v>177</v>
      </c>
      <c r="BN90" s="46" t="s">
        <v>176</v>
      </c>
      <c r="BO90" s="46" t="s">
        <v>132</v>
      </c>
      <c r="BP90" s="48" t="str">
        <f t="shared" si="27"/>
        <v xml:space="preserve">622 SLNO příprava PN ZV </v>
      </c>
      <c r="BQ90" s="49" t="s">
        <v>157</v>
      </c>
      <c r="BR90" s="49"/>
      <c r="BS90" s="49"/>
      <c r="BT90" s="49"/>
      <c r="BU90" s="49"/>
      <c r="BV90" s="49"/>
      <c r="BW90" s="49"/>
      <c r="BX90" s="49"/>
      <c r="BY90" s="49"/>
      <c r="BZ90" s="50">
        <v>1</v>
      </c>
      <c r="CA90" s="50"/>
      <c r="CB90" s="50"/>
      <c r="CC90" s="50"/>
      <c r="CD90" s="50"/>
      <c r="CE90" s="50"/>
      <c r="CF90" s="50"/>
      <c r="CG90" s="50">
        <v>1</v>
      </c>
      <c r="CH90" s="50"/>
      <c r="CI90" s="46" t="str">
        <f>VLOOKUP(BK90,[2]ZDROJ!$A$2:$C$20,2,0)</f>
        <v>102020</v>
      </c>
      <c r="CJ90" s="46" t="s">
        <v>182</v>
      </c>
      <c r="CK90" s="54" t="s">
        <v>570</v>
      </c>
      <c r="CL90" s="46" t="s">
        <v>572</v>
      </c>
      <c r="CM90" s="46" t="s">
        <v>184</v>
      </c>
    </row>
    <row r="91" spans="54:92" ht="17.25" customHeight="1" x14ac:dyDescent="0.25">
      <c r="BB91" s="43">
        <f t="shared" si="24"/>
        <v>0</v>
      </c>
      <c r="BC91" s="43" t="str">
        <f>IF(([1]Dotazník!$L$10=ZDROJE!BM91)*AND([1]Dotazník!$AB$20=ZDROJE!BK91)*AND([1]Dotazník!$AB$21=ZDROJE!BJ91),ZDROJE!BP91,"chyba")</f>
        <v>chyba</v>
      </c>
      <c r="BD91" s="43">
        <f t="shared" si="25"/>
        <v>0</v>
      </c>
      <c r="BE91" s="43" t="str">
        <f>IF(([1]Dotazník!$L$10=ZDROJE!BM91)*AND([1]Dotazník!$AB$20=ZDROJE!BK91)*AND([1]Dotazník!$AB$21=ZDROJE!BJ91),ZDROJE!CI91,"chyba")</f>
        <v>chyba</v>
      </c>
      <c r="BF91" s="45" t="s">
        <v>624</v>
      </c>
      <c r="BG91" s="46">
        <v>622</v>
      </c>
      <c r="BH91" s="46" t="s">
        <v>223</v>
      </c>
      <c r="BI91" s="46" t="s">
        <v>225</v>
      </c>
      <c r="BJ91" s="46" t="s">
        <v>542</v>
      </c>
      <c r="BK91" s="46"/>
      <c r="BL91" s="46"/>
      <c r="BM91" s="47" t="s">
        <v>177</v>
      </c>
      <c r="BN91" s="46" t="s">
        <v>176</v>
      </c>
      <c r="BO91" s="46" t="s">
        <v>132</v>
      </c>
      <c r="BP91" s="48" t="str">
        <f t="shared" si="27"/>
        <v xml:space="preserve">622 SLNO Kof  </v>
      </c>
      <c r="BQ91" s="49" t="s">
        <v>157</v>
      </c>
      <c r="BR91" s="49"/>
      <c r="BS91" s="49"/>
      <c r="BT91" s="49"/>
      <c r="BU91" s="49"/>
      <c r="BV91" s="49"/>
      <c r="BW91" s="49"/>
      <c r="BX91" s="49"/>
      <c r="BY91" s="49"/>
      <c r="BZ91" s="50" t="s">
        <v>178</v>
      </c>
      <c r="CA91" s="50"/>
      <c r="CB91" s="50"/>
      <c r="CC91" s="50"/>
      <c r="CD91" s="50"/>
      <c r="CE91" s="50"/>
      <c r="CF91" s="50"/>
      <c r="CG91" s="50" t="s">
        <v>178</v>
      </c>
      <c r="CH91" s="50"/>
      <c r="CI91" s="67"/>
      <c r="CJ91" s="67"/>
      <c r="CK91" s="67"/>
      <c r="CL91" s="67"/>
      <c r="CM91" s="67"/>
    </row>
  </sheetData>
  <sheetProtection algorithmName="SHA-512" hashValue="32N3fMKEkuyQ+IwK9J9RYptQmrqENdYPqSqBCMVlhxMvvPZVQBRXiENW5Y51lNe/YpxgugRyxFyA4KbAFAHolQ==" saltValue="Pin2md5UPfCG2cEw/Vo+Kg==" spinCount="100000" sheet="1" objects="1" scenarios="1" selectLockedCells="1" selectUnlockedCells="1"/>
  <pageMargins left="0.7" right="0.7" top="0.78740157499999996" bottom="0.78740157499999996"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15OPMSMT0001-3-5908</_dlc_DocId>
    <_dlc_DocIdUrl xmlns="0104a4cd-1400-468e-be1b-c7aad71d7d5a">
      <Url>https://op.msmt.cz/_layouts/15/DocIdRedir.aspx?ID=15OPMSMT0001-3-5908</Url>
      <Description>15OPMSMT0001-3-5908</Description>
    </_dlc_DocIdUrl>
    <PublishingExpirationDate xmlns="http://schemas.microsoft.com/sharepoint/v3" xsi:nil="true"/>
    <PublishingStartDate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BDCA75A58C97E438F3C819E8D8D88E5" ma:contentTypeVersion="5" ma:contentTypeDescription="Vytvoří nový dokument" ma:contentTypeScope="" ma:versionID="65bad2ce7ad43b578ba6f17a3b5d2fcb">
  <xsd:schema xmlns:xsd="http://www.w3.org/2001/XMLSchema" xmlns:xs="http://www.w3.org/2001/XMLSchema" xmlns:p="http://schemas.microsoft.com/office/2006/metadata/properties" xmlns:ns1="http://schemas.microsoft.com/sharepoint/v3" xmlns:ns2="0104a4cd-1400-468e-be1b-c7aad71d7d5a" targetNamespace="http://schemas.microsoft.com/office/2006/metadata/properties" ma:root="true" ma:fieldsID="7b796d3f5dbe204093f5eaef157c0cde" ns1:_="" ns2:_="">
    <xsd:import namespace="http://schemas.microsoft.com/sharepoint/v3"/>
    <xsd:import namespace="0104a4cd-1400-468e-be1b-c7aad71d7d5a"/>
    <xsd:element name="properties">
      <xsd:complexType>
        <xsd:sequence>
          <xsd:element name="documentManagement">
            <xsd:complexType>
              <xsd:all>
                <xsd:element ref="ns1:PublishingStartDate" minOccurs="0"/>
                <xsd:element ref="ns1:PublishingExpirationDate" minOccurs="0"/>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um zahájení plánování" ma:hidden="true" ma:internalName="PublishingStartDate" ma:readOnly="false">
      <xsd:simpleType>
        <xsd:restriction base="dms:Unknown"/>
      </xsd:simpleType>
    </xsd:element>
    <xsd:element name="PublishingExpirationDate" ma:index="9" nillable="true" ma:displayName="Datum ukončení plánování" ma:hidden="true" ma:internalName="PublishingExpirationDate" ma:readOnly="fals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10" nillable="true" ma:displayName="Hodnota ID dokumentu" ma:description="Hodnota ID dokumentu přiřazená této položce" ma:internalName="_dlc_DocId" ma:readOnly="true">
      <xsd:simpleType>
        <xsd:restriction base="dms:Text"/>
      </xsd:simpleType>
    </xsd:element>
    <xsd:element name="_dlc_DocIdUrl" ma:index="11"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2" nillable="true" ma:displayName="Zachovat ID" ma:description="Ponechat ID po přidání"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3"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5.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CF753F5-624A-4CCF-AE5C-51D561B862D7}">
  <ds:schemaRefs>
    <ds:schemaRef ds:uri="http://schemas.microsoft.com/sharepoint/v3/contenttype/forms"/>
  </ds:schemaRefs>
</ds:datastoreItem>
</file>

<file path=customXml/itemProps2.xml><?xml version="1.0" encoding="utf-8"?>
<ds:datastoreItem xmlns:ds="http://schemas.openxmlformats.org/officeDocument/2006/customXml" ds:itemID="{DD4BDAE6-D1E4-4AEC-8402-C079C9A171DB}">
  <ds:schemaRefs>
    <ds:schemaRef ds:uri="http://schemas.microsoft.com/office/infopath/2007/PartnerControls"/>
    <ds:schemaRef ds:uri="http://purl.org/dc/elements/1.1/"/>
    <ds:schemaRef ds:uri="http://schemas.microsoft.com/office/2006/documentManagement/types"/>
    <ds:schemaRef ds:uri="http://schemas.microsoft.com/sharepoint/v3"/>
    <ds:schemaRef ds:uri="http://purl.org/dc/terms/"/>
    <ds:schemaRef ds:uri="http://schemas.openxmlformats.org/package/2006/metadata/core-properties"/>
    <ds:schemaRef ds:uri="http://purl.org/dc/dcmitype/"/>
    <ds:schemaRef ds:uri="0104a4cd-1400-468e-be1b-c7aad71d7d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CFB65393-A68D-4596-B55D-CA52784840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82CD75F-3068-437A-9D9E-205C0237E1C3}">
  <ds:schemaRefs>
    <ds:schemaRef ds:uri="http://schemas.microsoft.com/office/2006/metadata/customXsn"/>
  </ds:schemaRefs>
</ds:datastoreItem>
</file>

<file path=customXml/itemProps5.xml><?xml version="1.0" encoding="utf-8"?>
<ds:datastoreItem xmlns:ds="http://schemas.openxmlformats.org/officeDocument/2006/customXml" ds:itemID="{0FA3102A-159B-4D05-BDB7-5479F623421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1</vt:i4>
      </vt:variant>
    </vt:vector>
  </HeadingPairs>
  <TitlesOfParts>
    <vt:vector size="3" baseType="lpstr">
      <vt:lpstr>PV_souhrnny</vt:lpstr>
      <vt:lpstr>ZDROJE</vt:lpstr>
      <vt:lpstr>PV_souhrnny!Oblast_tisku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dc:description/>
  <cp:lastModifiedBy/>
  <dcterms:created xsi:type="dcterms:W3CDTF">2006-09-16T00:00:00Z</dcterms:created>
  <dcterms:modified xsi:type="dcterms:W3CDTF">2018-09-27T10:57:15Z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0x0101005BDCA75A58C97E438F3C819E8D8D88E5</vt:lpwstr>
  </property>
  <property fmtid="{D5CDD505-2E9C-101B-9397-08002B2CF9AE}" pid="3" name="_dlc_DocIdItemGuid">
    <vt:lpwstr>7afa881f-6515-46d8-ab5e-bb949e53c683</vt:lpwstr>
  </property>
  <property fmtid="{D5CDD505-2E9C-101B-9397-08002B2CF9AE}" pid="4" name="Komentář">
    <vt:lpwstr/>
  </property>
</Properties>
</file>